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omments4.xml" ContentType="application/vnd.openxmlformats-officedocument.spreadsheetml.comments+xml"/>
  <Override PartName="/xl/comments5.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autoCompressPictures="0" defaultThemeVersion="124226"/>
  <mc:AlternateContent xmlns:mc="http://schemas.openxmlformats.org/markup-compatibility/2006">
    <mc:Choice Requires="x15">
      <x15ac:absPath xmlns:x15ac="http://schemas.microsoft.com/office/spreadsheetml/2010/11/ac" url="C:\Users\robert.aycock\Documents\"/>
    </mc:Choice>
  </mc:AlternateContent>
  <xr:revisionPtr revIDLastSave="0" documentId="13_ncr:1_{CBAE4654-C76A-4D4B-B6C3-E31B06619115}" xr6:coauthVersionLast="47" xr6:coauthVersionMax="47" xr10:uidLastSave="{00000000-0000-0000-0000-000000000000}"/>
  <bookViews>
    <workbookView xWindow="-120" yWindow="-120" windowWidth="29040" windowHeight="15840" xr2:uid="{00000000-000D-0000-FFFF-FFFF00000000}"/>
  </bookViews>
  <sheets>
    <sheet name="NEW...Tables 87-90" sheetId="20" r:id="rId1"/>
    <sheet name="OLD...Tables" sheetId="19" r:id="rId2"/>
    <sheet name="NEW...Tables 91-112" sheetId="18" r:id="rId3"/>
    <sheet name="OLD...Tabs" sheetId="17" r:id="rId4"/>
    <sheet name="Pivot Table for Data Exchange" sheetId="15" r:id="rId5"/>
    <sheet name="05InstructionTypes" sheetId="1" r:id="rId6"/>
    <sheet name="Sheet1" sheetId="21" state="hidden" r:id="rId7"/>
    <sheet name="Format for DE pivot" sheetId="12" r:id="rId8"/>
    <sheet name="Summary Table for Fact Book" sheetId="16" r:id="rId9"/>
    <sheet name="Pivot Table for Fact Book" sheetId="14" r:id="rId10"/>
    <sheet name="Format for FB Pivot Tab" sheetId="13" r:id="rId11"/>
  </sheets>
  <definedNames>
    <definedName name="_xlnm.Print_Area" localSheetId="0">'NEW...Tables 87-90'!$A$1:$P$116</definedName>
    <definedName name="_xlnm.Print_Area" localSheetId="2">'NEW...Tables 91-112'!$A$1:$P$461</definedName>
    <definedName name="_xlnm.Print_Area" localSheetId="1">'OLD...Tables'!$A$1:$P$113</definedName>
    <definedName name="_xlnm.Print_Area" localSheetId="3">'OLD...Tabs'!$A$1:$P$461</definedName>
    <definedName name="Type13gr1_1" localSheetId="5">'05InstructionTypes'!$W$47:$W$132</definedName>
    <definedName name="Type13gr1_2" localSheetId="5">'05InstructionTypes'!$W$47:$W$132</definedName>
    <definedName name="Type13gr1_3" localSheetId="5">'05InstructionTypes'!$W$45:$W$130</definedName>
    <definedName name="Type13gr1_4" localSheetId="5">'05InstructionTypes'!$W$45:$W$131</definedName>
    <definedName name="Type13gr2_1" localSheetId="5">'05InstructionTypes'!$Y$47:$Y$132</definedName>
    <definedName name="Type13gr2_2" localSheetId="5">'05InstructionTypes'!$Y$47:$Y$132</definedName>
    <definedName name="Type13gr2_3" localSheetId="5">'05InstructionTypes'!$Y$45:$Y$130</definedName>
    <definedName name="Type13gr2_4" localSheetId="5">'05InstructionTypes'!$Y$45:$Y$131</definedName>
    <definedName name="Type13gr3_1" localSheetId="5">'05InstructionTypes'!$AC$47:$AC$132</definedName>
    <definedName name="Type13gr3_2" localSheetId="5">'05InstructionTypes'!$AC$47:$AC$132</definedName>
    <definedName name="Type13gr3_3" localSheetId="5">'05InstructionTypes'!$AC$45:$AC$130</definedName>
    <definedName name="Type13gr3_4" localSheetId="5">'05InstructionTypes'!$AC$45:$AC$131</definedName>
    <definedName name="Type13gr4_1" localSheetId="5">'05InstructionTypes'!$AD$47:$AD$132</definedName>
    <definedName name="Type13gr4_2" localSheetId="5">'05InstructionTypes'!$AD$47:$AD$132</definedName>
    <definedName name="Type13gr4_3" localSheetId="5">'05InstructionTypes'!$AD$45:$AD$130</definedName>
    <definedName name="Type13gr4_4" localSheetId="5">'05InstructionTypes'!$AD$45:$AD$131</definedName>
    <definedName name="Type13gr5_2" localSheetId="5">'05InstructionTypes'!$AE$47:$AE$132</definedName>
    <definedName name="Type13gr5_3" localSheetId="5">'05InstructionTypes'!$AE$47:$AE$132</definedName>
    <definedName name="Type13gr5_4" localSheetId="5">'05InstructionTypes'!$AE$45:$AE$130</definedName>
    <definedName name="Type13gr5_5" localSheetId="5">'05InstructionTypes'!$AE$45:$AE$131</definedName>
    <definedName name="Type13ug1_1" localSheetId="5">'05InstructionTypes'!$I$47:$I$132</definedName>
    <definedName name="Type13ug1_2" localSheetId="5">'05InstructionTypes'!$I$47:$I$132</definedName>
    <definedName name="Type13ug1_3" localSheetId="5">'05InstructionTypes'!$I$45:$I$130</definedName>
    <definedName name="Type13ug1_4" localSheetId="5">'05InstructionTypes'!$I$45:$I$131</definedName>
    <definedName name="Type13ug2_1" localSheetId="5">'05InstructionTypes'!$K$47:$K$132</definedName>
    <definedName name="Type13ug2_2" localSheetId="5">'05InstructionTypes'!$K$47:$K$132</definedName>
    <definedName name="Type13ug2_3" localSheetId="5">'05InstructionTypes'!$K$45:$K$130</definedName>
    <definedName name="Type13ug2_4" localSheetId="5">'05InstructionTypes'!$K$45:$K$131</definedName>
    <definedName name="Type13ug3_1" localSheetId="5">'05InstructionTypes'!$O$47:$O$132</definedName>
    <definedName name="Type13ug3_2" localSheetId="5">'05InstructionTypes'!$O$47:$O$132</definedName>
    <definedName name="Type13ug3_3" localSheetId="5">'05InstructionTypes'!$O$45:$O$130</definedName>
    <definedName name="Type13ug3_4" localSheetId="5">'05InstructionTypes'!$O$45:$O$131</definedName>
    <definedName name="Type13ug4_1" localSheetId="5">'05InstructionTypes'!$P$47:$P$132</definedName>
    <definedName name="Type13ug4_2" localSheetId="5">'05InstructionTypes'!$P$47:$P$132</definedName>
    <definedName name="Type13ug4_3" localSheetId="5">'05InstructionTypes'!$P$45:$P$130</definedName>
    <definedName name="Type13ug4_4" localSheetId="5">'05InstructionTypes'!$P$45:$P$131</definedName>
    <definedName name="Type13ug5_1" localSheetId="5">'05InstructionTypes'!$Q$47:$Q$132</definedName>
    <definedName name="Type13ug5_2" localSheetId="5">'05InstructionTypes'!$Q$47:$Q$132</definedName>
    <definedName name="Type13ug5_3" localSheetId="5">'05InstructionTypes'!$Q$45:$Q$130</definedName>
    <definedName name="Type13ug5_4" localSheetId="5">'05InstructionTypes'!$Q$45:$Q$131</definedName>
  </definedNames>
  <calcPr calcId="191029"/>
  <pivotCaches>
    <pivotCache cacheId="28"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U573" i="1" l="1"/>
  <c r="T573" i="1"/>
  <c r="G573" i="1"/>
  <c r="F573" i="1"/>
  <c r="U572" i="1"/>
  <c r="T572" i="1"/>
  <c r="G572" i="1"/>
  <c r="F572" i="1"/>
  <c r="U571" i="1"/>
  <c r="T571" i="1"/>
  <c r="G571" i="1"/>
  <c r="F571" i="1"/>
  <c r="U570" i="1"/>
  <c r="T570" i="1"/>
  <c r="G570" i="1"/>
  <c r="F570" i="1"/>
  <c r="U569" i="1"/>
  <c r="T569" i="1"/>
  <c r="G569" i="1"/>
  <c r="F569" i="1"/>
  <c r="U568" i="1"/>
  <c r="T568" i="1"/>
  <c r="G568" i="1"/>
  <c r="F568" i="1"/>
  <c r="U567" i="1"/>
  <c r="T567" i="1"/>
  <c r="G567" i="1"/>
  <c r="F567" i="1"/>
  <c r="U566" i="1"/>
  <c r="T566" i="1"/>
  <c r="G566" i="1"/>
  <c r="F566" i="1"/>
  <c r="U565" i="1"/>
  <c r="T565" i="1"/>
  <c r="G565" i="1"/>
  <c r="F565" i="1"/>
  <c r="U564" i="1"/>
  <c r="T564" i="1"/>
  <c r="G564" i="1"/>
  <c r="F564" i="1"/>
  <c r="U563" i="1"/>
  <c r="T563" i="1"/>
  <c r="G563" i="1"/>
  <c r="F563" i="1"/>
  <c r="U562" i="1"/>
  <c r="T562" i="1"/>
  <c r="G562" i="1"/>
  <c r="F562" i="1"/>
  <c r="U561" i="1"/>
  <c r="T561" i="1"/>
  <c r="G561" i="1"/>
  <c r="F561" i="1"/>
  <c r="U560" i="1"/>
  <c r="T560" i="1"/>
  <c r="G560" i="1"/>
  <c r="F560" i="1"/>
  <c r="U559" i="1"/>
  <c r="T559" i="1"/>
  <c r="G559" i="1"/>
  <c r="F559" i="1"/>
  <c r="U558" i="1"/>
  <c r="T558" i="1"/>
  <c r="G558" i="1"/>
  <c r="F558" i="1"/>
  <c r="U557" i="1"/>
  <c r="T557" i="1"/>
  <c r="G557" i="1"/>
  <c r="F557" i="1"/>
  <c r="U556" i="1"/>
  <c r="T556" i="1"/>
  <c r="G556" i="1"/>
  <c r="F556" i="1"/>
  <c r="U555" i="1"/>
  <c r="T555" i="1"/>
  <c r="G555" i="1"/>
  <c r="F555" i="1"/>
  <c r="U554" i="1"/>
  <c r="T554" i="1"/>
  <c r="G554" i="1"/>
  <c r="F554" i="1"/>
  <c r="U553" i="1"/>
  <c r="T553" i="1"/>
  <c r="G553" i="1"/>
  <c r="F553" i="1"/>
  <c r="U552" i="1"/>
  <c r="T552" i="1"/>
  <c r="G552" i="1"/>
  <c r="F552" i="1"/>
  <c r="U551" i="1"/>
  <c r="T551" i="1"/>
  <c r="G551" i="1"/>
  <c r="F551" i="1"/>
  <c r="U550" i="1"/>
  <c r="T550" i="1"/>
  <c r="G550" i="1"/>
  <c r="F550" i="1"/>
  <c r="U549" i="1"/>
  <c r="T549" i="1"/>
  <c r="G549" i="1"/>
  <c r="F549" i="1"/>
  <c r="U548" i="1"/>
  <c r="T548" i="1"/>
  <c r="G548" i="1"/>
  <c r="F548" i="1"/>
  <c r="U547" i="1"/>
  <c r="T547" i="1"/>
  <c r="G547" i="1"/>
  <c r="F547" i="1"/>
  <c r="U546" i="1"/>
  <c r="T546" i="1"/>
  <c r="G546" i="1"/>
  <c r="F546" i="1"/>
  <c r="U545" i="1"/>
  <c r="T545" i="1"/>
  <c r="G545" i="1"/>
  <c r="F545" i="1"/>
  <c r="U544" i="1"/>
  <c r="T544" i="1"/>
  <c r="G544" i="1"/>
  <c r="F544" i="1"/>
  <c r="U543" i="1"/>
  <c r="T543" i="1"/>
  <c r="G543" i="1"/>
  <c r="F543" i="1"/>
  <c r="U542" i="1"/>
  <c r="T542" i="1"/>
  <c r="G542" i="1"/>
  <c r="F542" i="1"/>
  <c r="U541" i="1"/>
  <c r="T541" i="1"/>
  <c r="G541" i="1"/>
  <c r="F541" i="1"/>
  <c r="U540" i="1"/>
  <c r="T540" i="1"/>
  <c r="G540" i="1"/>
  <c r="F540" i="1"/>
  <c r="U539" i="1"/>
  <c r="T539" i="1"/>
  <c r="G539" i="1"/>
  <c r="F539" i="1"/>
  <c r="U538" i="1"/>
  <c r="T538" i="1"/>
  <c r="G538" i="1"/>
  <c r="F538" i="1"/>
  <c r="U537" i="1"/>
  <c r="T537" i="1"/>
  <c r="G537" i="1"/>
  <c r="F537" i="1"/>
  <c r="U536" i="1"/>
  <c r="T536" i="1"/>
  <c r="G536" i="1"/>
  <c r="F536" i="1"/>
  <c r="U535" i="1"/>
  <c r="T535" i="1"/>
  <c r="G535" i="1"/>
  <c r="F535" i="1"/>
  <c r="U534" i="1"/>
  <c r="T534" i="1"/>
  <c r="G534" i="1"/>
  <c r="F534" i="1"/>
  <c r="U533" i="1"/>
  <c r="T533" i="1"/>
  <c r="G533" i="1"/>
  <c r="F533" i="1"/>
  <c r="U532" i="1"/>
  <c r="T532" i="1"/>
  <c r="G532" i="1"/>
  <c r="F532" i="1"/>
  <c r="U531" i="1"/>
  <c r="T531" i="1"/>
  <c r="G531" i="1"/>
  <c r="F531" i="1"/>
  <c r="U530" i="1"/>
  <c r="T530" i="1"/>
  <c r="G530" i="1"/>
  <c r="F530" i="1"/>
  <c r="U529" i="1"/>
  <c r="T529" i="1"/>
  <c r="G529" i="1"/>
  <c r="F529" i="1"/>
  <c r="U528" i="1"/>
  <c r="T528" i="1"/>
  <c r="G528" i="1"/>
  <c r="F528" i="1"/>
  <c r="U527" i="1"/>
  <c r="T527" i="1"/>
  <c r="G527" i="1"/>
  <c r="F527" i="1"/>
  <c r="U526" i="1"/>
  <c r="T526" i="1"/>
  <c r="G526" i="1"/>
  <c r="F526" i="1"/>
  <c r="U525" i="1"/>
  <c r="T525" i="1"/>
  <c r="G525" i="1"/>
  <c r="F525" i="1"/>
  <c r="U524" i="1"/>
  <c r="T524" i="1"/>
  <c r="G524" i="1"/>
  <c r="F524" i="1"/>
  <c r="U523" i="1"/>
  <c r="T523" i="1"/>
  <c r="G523" i="1"/>
  <c r="F523" i="1"/>
  <c r="U522" i="1"/>
  <c r="T522" i="1"/>
  <c r="G522" i="1"/>
  <c r="F522" i="1"/>
  <c r="U521" i="1"/>
  <c r="T521" i="1"/>
  <c r="G521" i="1"/>
  <c r="F521" i="1"/>
  <c r="U520" i="1"/>
  <c r="T520" i="1"/>
  <c r="G520" i="1"/>
  <c r="F520" i="1"/>
  <c r="U519" i="1"/>
  <c r="T519" i="1"/>
  <c r="G519" i="1"/>
  <c r="F519" i="1"/>
  <c r="U518" i="1"/>
  <c r="T518" i="1"/>
  <c r="G518" i="1"/>
  <c r="F518" i="1"/>
  <c r="U517" i="1"/>
  <c r="T517" i="1"/>
  <c r="G517" i="1"/>
  <c r="F517" i="1"/>
  <c r="U516" i="1"/>
  <c r="T516" i="1"/>
  <c r="G516" i="1"/>
  <c r="F516" i="1"/>
  <c r="U515" i="1"/>
  <c r="T515" i="1"/>
  <c r="G515" i="1"/>
  <c r="F515" i="1"/>
  <c r="U514" i="1"/>
  <c r="T514" i="1"/>
  <c r="G514" i="1"/>
  <c r="F514" i="1"/>
  <c r="U513" i="1"/>
  <c r="T513" i="1"/>
  <c r="G513" i="1"/>
  <c r="F513" i="1"/>
  <c r="U512" i="1"/>
  <c r="T512" i="1"/>
  <c r="G512" i="1"/>
  <c r="F512" i="1"/>
  <c r="U511" i="1"/>
  <c r="T511" i="1"/>
  <c r="G511" i="1"/>
  <c r="F511" i="1"/>
  <c r="U510" i="1"/>
  <c r="T510" i="1"/>
  <c r="G510" i="1"/>
  <c r="F510" i="1"/>
  <c r="U509" i="1"/>
  <c r="T509" i="1"/>
  <c r="G509" i="1"/>
  <c r="F509" i="1"/>
  <c r="U508" i="1"/>
  <c r="T508" i="1"/>
  <c r="G508" i="1"/>
  <c r="F508" i="1"/>
  <c r="U507" i="1"/>
  <c r="T507" i="1"/>
  <c r="G507" i="1"/>
  <c r="F507" i="1"/>
  <c r="U506" i="1"/>
  <c r="T506" i="1"/>
  <c r="G506" i="1"/>
  <c r="F506" i="1"/>
  <c r="U505" i="1"/>
  <c r="T505" i="1"/>
  <c r="G505" i="1"/>
  <c r="F505" i="1"/>
  <c r="U504" i="1"/>
  <c r="T504" i="1"/>
  <c r="G504" i="1"/>
  <c r="F504" i="1"/>
  <c r="U503" i="1"/>
  <c r="T503" i="1"/>
  <c r="G503" i="1"/>
  <c r="F503" i="1"/>
  <c r="U502" i="1"/>
  <c r="T502" i="1"/>
  <c r="G502" i="1"/>
  <c r="F502" i="1"/>
  <c r="U501" i="1"/>
  <c r="T501" i="1"/>
  <c r="G501" i="1"/>
  <c r="F501" i="1"/>
  <c r="U500" i="1"/>
  <c r="T500" i="1"/>
  <c r="G500" i="1"/>
  <c r="F500" i="1"/>
  <c r="U499" i="1"/>
  <c r="T499" i="1"/>
  <c r="G499" i="1"/>
  <c r="F499" i="1"/>
  <c r="U498" i="1"/>
  <c r="T498" i="1"/>
  <c r="G498" i="1"/>
  <c r="F498" i="1"/>
  <c r="U497" i="1"/>
  <c r="T497" i="1"/>
  <c r="G497" i="1"/>
  <c r="F497" i="1"/>
  <c r="U496" i="1"/>
  <c r="T496" i="1"/>
  <c r="G496" i="1"/>
  <c r="F496" i="1"/>
  <c r="U495" i="1"/>
  <c r="T495" i="1"/>
  <c r="G495" i="1"/>
  <c r="F495" i="1"/>
  <c r="U494" i="1"/>
  <c r="T494" i="1"/>
  <c r="G494" i="1"/>
  <c r="F494" i="1"/>
  <c r="U493" i="1"/>
  <c r="T493" i="1"/>
  <c r="G493" i="1"/>
  <c r="F493" i="1"/>
  <c r="U492" i="1"/>
  <c r="T492" i="1"/>
  <c r="G492" i="1"/>
  <c r="F492" i="1"/>
  <c r="U491" i="1"/>
  <c r="T491" i="1"/>
  <c r="G491" i="1"/>
  <c r="F491" i="1"/>
  <c r="U490" i="1"/>
  <c r="T490" i="1"/>
  <c r="G490" i="1"/>
  <c r="F490" i="1"/>
  <c r="U489" i="1"/>
  <c r="T489" i="1"/>
  <c r="G489" i="1"/>
  <c r="F489" i="1"/>
  <c r="U488" i="1"/>
  <c r="T488" i="1"/>
  <c r="G488" i="1"/>
  <c r="F488" i="1"/>
  <c r="U487" i="1"/>
  <c r="T487" i="1"/>
  <c r="G487" i="1"/>
  <c r="F487" i="1"/>
  <c r="U486" i="1"/>
  <c r="T486" i="1"/>
  <c r="G486" i="1"/>
  <c r="F486" i="1"/>
  <c r="U485" i="1"/>
  <c r="T485" i="1"/>
  <c r="G485" i="1"/>
  <c r="F485" i="1"/>
  <c r="U484" i="1"/>
  <c r="T484" i="1"/>
  <c r="G484" i="1"/>
  <c r="F484" i="1"/>
  <c r="U483" i="1"/>
  <c r="T483" i="1"/>
  <c r="G483" i="1"/>
  <c r="F483" i="1"/>
  <c r="U482" i="1"/>
  <c r="T482" i="1"/>
  <c r="G482" i="1"/>
  <c r="F482" i="1"/>
  <c r="U481" i="1"/>
  <c r="T481" i="1"/>
  <c r="G481" i="1"/>
  <c r="F481" i="1"/>
  <c r="U480" i="1"/>
  <c r="T480" i="1"/>
  <c r="G480" i="1"/>
  <c r="F480" i="1"/>
  <c r="U479" i="1"/>
  <c r="T479" i="1"/>
  <c r="G479" i="1"/>
  <c r="F479" i="1"/>
  <c r="U478" i="1"/>
  <c r="T478" i="1"/>
  <c r="G478" i="1"/>
  <c r="F478" i="1"/>
  <c r="U477" i="1"/>
  <c r="T477" i="1"/>
  <c r="G477" i="1"/>
  <c r="F477" i="1"/>
  <c r="U476" i="1"/>
  <c r="T476" i="1"/>
  <c r="G476" i="1"/>
  <c r="F476" i="1"/>
  <c r="U475" i="1"/>
  <c r="T475" i="1"/>
  <c r="G475" i="1"/>
  <c r="F475" i="1"/>
  <c r="U474" i="1"/>
  <c r="T474" i="1"/>
  <c r="G474" i="1"/>
  <c r="F474" i="1"/>
  <c r="U473" i="1"/>
  <c r="T473" i="1"/>
  <c r="G473" i="1"/>
  <c r="F473" i="1"/>
  <c r="U472" i="1"/>
  <c r="T472" i="1"/>
  <c r="G472" i="1"/>
  <c r="F472" i="1"/>
  <c r="U471" i="1"/>
  <c r="T471" i="1"/>
  <c r="G471" i="1"/>
  <c r="F471" i="1"/>
  <c r="U470" i="1"/>
  <c r="T470" i="1"/>
  <c r="G470" i="1"/>
  <c r="F470" i="1"/>
  <c r="U469" i="1"/>
  <c r="T469" i="1"/>
  <c r="G469" i="1"/>
  <c r="F469" i="1"/>
  <c r="U468" i="1"/>
  <c r="T468" i="1"/>
  <c r="G468" i="1"/>
  <c r="F468" i="1"/>
  <c r="U467" i="1"/>
  <c r="T467" i="1"/>
  <c r="G467" i="1"/>
  <c r="F467" i="1"/>
  <c r="U466" i="1"/>
  <c r="T466" i="1"/>
  <c r="G466" i="1"/>
  <c r="F466" i="1"/>
  <c r="U465" i="1"/>
  <c r="T465" i="1"/>
  <c r="G465" i="1"/>
  <c r="F465" i="1"/>
  <c r="U464" i="1"/>
  <c r="T464" i="1"/>
  <c r="G464" i="1"/>
  <c r="F464" i="1"/>
  <c r="U463" i="1"/>
  <c r="T463" i="1"/>
  <c r="G463" i="1"/>
  <c r="F463" i="1"/>
  <c r="U462" i="1"/>
  <c r="T462" i="1"/>
  <c r="G462" i="1"/>
  <c r="F462" i="1"/>
  <c r="U461" i="1"/>
  <c r="T461" i="1"/>
  <c r="G461" i="1"/>
  <c r="F461" i="1"/>
  <c r="U460" i="1"/>
  <c r="T460" i="1"/>
  <c r="G460" i="1"/>
  <c r="F460" i="1"/>
  <c r="U459" i="1"/>
  <c r="T459" i="1"/>
  <c r="G459" i="1"/>
  <c r="F459" i="1"/>
  <c r="U458" i="1"/>
  <c r="T458" i="1"/>
  <c r="G458" i="1"/>
  <c r="F458" i="1"/>
  <c r="U457" i="1"/>
  <c r="T457" i="1"/>
  <c r="G457" i="1"/>
  <c r="F457" i="1"/>
  <c r="U456" i="1"/>
  <c r="T456" i="1"/>
  <c r="G456" i="1"/>
  <c r="F456" i="1"/>
  <c r="U455" i="1"/>
  <c r="T455" i="1"/>
  <c r="G455" i="1"/>
  <c r="F455" i="1"/>
  <c r="U454" i="1"/>
  <c r="T454" i="1"/>
  <c r="G454" i="1"/>
  <c r="F454" i="1"/>
  <c r="U453" i="1"/>
  <c r="T453" i="1"/>
  <c r="G453" i="1"/>
  <c r="F453" i="1"/>
  <c r="U452" i="1"/>
  <c r="T452" i="1"/>
  <c r="G452" i="1"/>
  <c r="F452" i="1"/>
  <c r="U451" i="1"/>
  <c r="T451" i="1"/>
  <c r="G451" i="1"/>
  <c r="F451" i="1"/>
  <c r="U450" i="1"/>
  <c r="T450" i="1"/>
  <c r="G450" i="1"/>
  <c r="F450" i="1"/>
  <c r="U449" i="1"/>
  <c r="T449" i="1"/>
  <c r="G449" i="1"/>
  <c r="F449" i="1"/>
  <c r="U448" i="1"/>
  <c r="T448" i="1"/>
  <c r="G448" i="1"/>
  <c r="F448" i="1"/>
  <c r="U447" i="1"/>
  <c r="T447" i="1"/>
  <c r="G447" i="1"/>
  <c r="F447" i="1"/>
  <c r="U446" i="1"/>
  <c r="T446" i="1"/>
  <c r="G446" i="1"/>
  <c r="F446" i="1"/>
  <c r="U445" i="1"/>
  <c r="T445" i="1"/>
  <c r="G445" i="1"/>
  <c r="F445" i="1"/>
  <c r="U444" i="1"/>
  <c r="T444" i="1"/>
  <c r="G444" i="1"/>
  <c r="F444" i="1"/>
  <c r="U443" i="1"/>
  <c r="T443" i="1"/>
  <c r="G443" i="1"/>
  <c r="F443" i="1"/>
  <c r="U442" i="1"/>
  <c r="T442" i="1"/>
  <c r="G442" i="1"/>
  <c r="F442" i="1"/>
  <c r="U441" i="1"/>
  <c r="T441" i="1"/>
  <c r="G441" i="1"/>
  <c r="F441" i="1"/>
  <c r="U440" i="1"/>
  <c r="T440" i="1"/>
  <c r="G440" i="1"/>
  <c r="F440" i="1"/>
  <c r="U439" i="1"/>
  <c r="T439" i="1"/>
  <c r="G439" i="1"/>
  <c r="F439" i="1"/>
  <c r="U438" i="1"/>
  <c r="T438" i="1"/>
  <c r="G438" i="1"/>
  <c r="F438" i="1"/>
  <c r="U437" i="1"/>
  <c r="T437" i="1"/>
  <c r="G437" i="1"/>
  <c r="F437" i="1"/>
  <c r="U436" i="1"/>
  <c r="T436" i="1"/>
  <c r="G436" i="1"/>
  <c r="F436" i="1"/>
  <c r="U435" i="1"/>
  <c r="T435" i="1"/>
  <c r="G435" i="1"/>
  <c r="F435" i="1"/>
  <c r="U434" i="1"/>
  <c r="T434" i="1"/>
  <c r="G434" i="1"/>
  <c r="F434" i="1"/>
  <c r="U433" i="1"/>
  <c r="T433" i="1"/>
  <c r="G433" i="1"/>
  <c r="F433" i="1"/>
  <c r="U432" i="1"/>
  <c r="T432" i="1"/>
  <c r="G432" i="1"/>
  <c r="F432" i="1"/>
  <c r="U431" i="1"/>
  <c r="T431" i="1"/>
  <c r="G431" i="1"/>
  <c r="F431" i="1"/>
  <c r="U430" i="1"/>
  <c r="T430" i="1"/>
  <c r="G430" i="1"/>
  <c r="F430" i="1"/>
  <c r="U429" i="1"/>
  <c r="T429" i="1"/>
  <c r="G429" i="1"/>
  <c r="F429" i="1"/>
  <c r="U428" i="1"/>
  <c r="T428" i="1"/>
  <c r="G428" i="1"/>
  <c r="F428" i="1"/>
  <c r="U427" i="1"/>
  <c r="T427" i="1"/>
  <c r="G427" i="1"/>
  <c r="F427" i="1"/>
  <c r="U426" i="1"/>
  <c r="T426" i="1"/>
  <c r="G426" i="1"/>
  <c r="F426" i="1"/>
  <c r="U425" i="1"/>
  <c r="T425" i="1"/>
  <c r="G425" i="1"/>
  <c r="F425" i="1"/>
  <c r="U424" i="1"/>
  <c r="T424" i="1"/>
  <c r="G424" i="1"/>
  <c r="F424" i="1"/>
  <c r="U423" i="1"/>
  <c r="T423" i="1"/>
  <c r="G423" i="1"/>
  <c r="F423" i="1"/>
  <c r="U422" i="1"/>
  <c r="T422" i="1"/>
  <c r="G422" i="1"/>
  <c r="F422" i="1"/>
  <c r="U421" i="1"/>
  <c r="T421" i="1"/>
  <c r="G421" i="1"/>
  <c r="F421" i="1"/>
  <c r="U420" i="1"/>
  <c r="T420" i="1"/>
  <c r="G420" i="1"/>
  <c r="F420" i="1"/>
  <c r="U419" i="1"/>
  <c r="T419" i="1"/>
  <c r="G419" i="1"/>
  <c r="F419" i="1"/>
  <c r="U418" i="1"/>
  <c r="T418" i="1"/>
  <c r="G418" i="1"/>
  <c r="F418" i="1"/>
  <c r="U417" i="1"/>
  <c r="T417" i="1"/>
  <c r="G417" i="1"/>
  <c r="F417" i="1"/>
  <c r="U416" i="1"/>
  <c r="T416" i="1"/>
  <c r="G416" i="1"/>
  <c r="F416" i="1"/>
  <c r="U415" i="1"/>
  <c r="T415" i="1"/>
  <c r="G415" i="1"/>
  <c r="F415" i="1"/>
  <c r="U414" i="1"/>
  <c r="T414" i="1"/>
  <c r="G414" i="1"/>
  <c r="F414" i="1"/>
  <c r="U413" i="1"/>
  <c r="T413" i="1"/>
  <c r="G413" i="1"/>
  <c r="F413" i="1"/>
  <c r="U412" i="1"/>
  <c r="T412" i="1"/>
  <c r="G412" i="1"/>
  <c r="F412" i="1"/>
  <c r="U411" i="1"/>
  <c r="T411" i="1"/>
  <c r="G411" i="1"/>
  <c r="F411" i="1"/>
  <c r="U410" i="1"/>
  <c r="T410" i="1"/>
  <c r="G410" i="1"/>
  <c r="F410" i="1"/>
  <c r="U409" i="1"/>
  <c r="T409" i="1"/>
  <c r="G409" i="1"/>
  <c r="F409" i="1"/>
  <c r="U408" i="1"/>
  <c r="T408" i="1"/>
  <c r="G408" i="1"/>
  <c r="F408" i="1"/>
  <c r="U407" i="1"/>
  <c r="T407" i="1"/>
  <c r="G407" i="1"/>
  <c r="F407" i="1"/>
  <c r="U406" i="1"/>
  <c r="T406" i="1"/>
  <c r="G406" i="1"/>
  <c r="F406" i="1"/>
  <c r="U405" i="1"/>
  <c r="T405" i="1"/>
  <c r="G405" i="1"/>
  <c r="F405" i="1"/>
  <c r="U404" i="1"/>
  <c r="T404" i="1"/>
  <c r="G404" i="1"/>
  <c r="F404" i="1"/>
  <c r="U403" i="1"/>
  <c r="T403" i="1"/>
  <c r="G403" i="1"/>
  <c r="F403" i="1"/>
  <c r="U402" i="1"/>
  <c r="T402" i="1"/>
  <c r="G402" i="1"/>
  <c r="F402" i="1"/>
  <c r="U401" i="1"/>
  <c r="T401" i="1"/>
  <c r="G401" i="1"/>
  <c r="F401" i="1"/>
  <c r="U400" i="1"/>
  <c r="T400" i="1"/>
  <c r="G400" i="1"/>
  <c r="F400" i="1"/>
  <c r="U399" i="1"/>
  <c r="T399" i="1"/>
  <c r="G399" i="1"/>
  <c r="F399" i="1"/>
  <c r="U398" i="1"/>
  <c r="T398" i="1"/>
  <c r="G398" i="1"/>
  <c r="F398" i="1"/>
  <c r="U397" i="1"/>
  <c r="T397" i="1"/>
  <c r="G397" i="1"/>
  <c r="F397" i="1"/>
  <c r="U396" i="1"/>
  <c r="T396" i="1"/>
  <c r="G396" i="1"/>
  <c r="F396" i="1"/>
  <c r="U395" i="1"/>
  <c r="T395" i="1"/>
  <c r="G395" i="1"/>
  <c r="F395" i="1"/>
  <c r="U394" i="1"/>
  <c r="T394" i="1"/>
  <c r="G394" i="1"/>
  <c r="F394" i="1"/>
  <c r="U393" i="1"/>
  <c r="T393" i="1"/>
  <c r="G393" i="1"/>
  <c r="F393" i="1"/>
  <c r="U392" i="1"/>
  <c r="T392" i="1"/>
  <c r="G392" i="1"/>
  <c r="F392" i="1"/>
  <c r="U391" i="1"/>
  <c r="T391" i="1"/>
  <c r="G391" i="1"/>
  <c r="F391" i="1"/>
  <c r="U390" i="1"/>
  <c r="T390" i="1"/>
  <c r="G390" i="1"/>
  <c r="F390" i="1"/>
  <c r="U389" i="1"/>
  <c r="T389" i="1"/>
  <c r="G389" i="1"/>
  <c r="F389" i="1"/>
  <c r="U388" i="1"/>
  <c r="T388" i="1"/>
  <c r="G388" i="1"/>
  <c r="F388" i="1"/>
  <c r="U387" i="1"/>
  <c r="T387" i="1"/>
  <c r="G387" i="1"/>
  <c r="F387" i="1"/>
  <c r="U386" i="1"/>
  <c r="T386" i="1"/>
  <c r="G386" i="1"/>
  <c r="F386" i="1"/>
  <c r="U385" i="1"/>
  <c r="T385" i="1"/>
  <c r="G385" i="1"/>
  <c r="F385" i="1"/>
  <c r="U384" i="1"/>
  <c r="T384" i="1"/>
  <c r="G384" i="1"/>
  <c r="F384" i="1"/>
  <c r="U383" i="1"/>
  <c r="T383" i="1"/>
  <c r="G383" i="1"/>
  <c r="F383" i="1"/>
  <c r="U382" i="1"/>
  <c r="T382" i="1"/>
  <c r="G382" i="1"/>
  <c r="F382" i="1"/>
  <c r="U381" i="1"/>
  <c r="T381" i="1"/>
  <c r="G381" i="1"/>
  <c r="F381" i="1"/>
  <c r="U380" i="1"/>
  <c r="T380" i="1"/>
  <c r="G380" i="1"/>
  <c r="F380" i="1"/>
  <c r="U379" i="1"/>
  <c r="T379" i="1"/>
  <c r="G379" i="1"/>
  <c r="F379" i="1"/>
  <c r="U378" i="1"/>
  <c r="T378" i="1"/>
  <c r="G378" i="1"/>
  <c r="F378" i="1"/>
  <c r="U377" i="1"/>
  <c r="T377" i="1"/>
  <c r="G377" i="1"/>
  <c r="F377" i="1"/>
  <c r="U376" i="1"/>
  <c r="T376" i="1"/>
  <c r="G376" i="1"/>
  <c r="F376" i="1"/>
  <c r="U375" i="1"/>
  <c r="T375" i="1"/>
  <c r="G375" i="1"/>
  <c r="F375" i="1"/>
  <c r="U374" i="1"/>
  <c r="T374" i="1"/>
  <c r="G374" i="1"/>
  <c r="F374" i="1"/>
  <c r="U373" i="1"/>
  <c r="T373" i="1"/>
  <c r="G373" i="1"/>
  <c r="F373" i="1"/>
  <c r="U372" i="1"/>
  <c r="T372" i="1"/>
  <c r="G372" i="1"/>
  <c r="F372" i="1"/>
  <c r="U371" i="1"/>
  <c r="T371" i="1"/>
  <c r="G371" i="1"/>
  <c r="F371" i="1"/>
  <c r="U370" i="1"/>
  <c r="T370" i="1"/>
  <c r="G370" i="1"/>
  <c r="F370" i="1"/>
  <c r="U369" i="1"/>
  <c r="T369" i="1"/>
  <c r="G369" i="1"/>
  <c r="F369" i="1"/>
  <c r="U368" i="1"/>
  <c r="T368" i="1"/>
  <c r="G368" i="1"/>
  <c r="F368" i="1"/>
  <c r="U367" i="1"/>
  <c r="T367" i="1"/>
  <c r="G367" i="1"/>
  <c r="F367" i="1"/>
  <c r="U366" i="1"/>
  <c r="T366" i="1"/>
  <c r="G366" i="1"/>
  <c r="F366" i="1"/>
  <c r="U365" i="1"/>
  <c r="T365" i="1"/>
  <c r="G365" i="1"/>
  <c r="F365" i="1"/>
  <c r="U364" i="1"/>
  <c r="T364" i="1"/>
  <c r="G364" i="1"/>
  <c r="F364" i="1"/>
  <c r="U363" i="1"/>
  <c r="T363" i="1"/>
  <c r="G363" i="1"/>
  <c r="F363" i="1"/>
  <c r="U362" i="1"/>
  <c r="T362" i="1"/>
  <c r="G362" i="1"/>
  <c r="F362" i="1"/>
  <c r="U361" i="1"/>
  <c r="T361" i="1"/>
  <c r="G361" i="1"/>
  <c r="F361" i="1"/>
  <c r="U360" i="1"/>
  <c r="T360" i="1"/>
  <c r="G360" i="1"/>
  <c r="F360" i="1"/>
  <c r="U359" i="1"/>
  <c r="T359" i="1"/>
  <c r="G359" i="1"/>
  <c r="F359" i="1"/>
  <c r="U358" i="1"/>
  <c r="T358" i="1"/>
  <c r="G358" i="1"/>
  <c r="F358" i="1"/>
  <c r="U357" i="1"/>
  <c r="T357" i="1"/>
  <c r="G357" i="1"/>
  <c r="F357" i="1"/>
  <c r="U356" i="1"/>
  <c r="T356" i="1"/>
  <c r="G356" i="1"/>
  <c r="F356" i="1"/>
  <c r="U355" i="1"/>
  <c r="T355" i="1"/>
  <c r="G355" i="1"/>
  <c r="F355" i="1"/>
  <c r="U354" i="1"/>
  <c r="T354" i="1"/>
  <c r="G354" i="1"/>
  <c r="F354" i="1"/>
  <c r="U353" i="1"/>
  <c r="T353" i="1"/>
  <c r="G353" i="1"/>
  <c r="F353" i="1"/>
  <c r="U352" i="1"/>
  <c r="T352" i="1"/>
  <c r="G352" i="1"/>
  <c r="F352" i="1"/>
  <c r="U351" i="1"/>
  <c r="T351" i="1"/>
  <c r="G351" i="1"/>
  <c r="F351" i="1"/>
  <c r="U350" i="1"/>
  <c r="T350" i="1"/>
  <c r="G350" i="1"/>
  <c r="F350" i="1"/>
  <c r="U349" i="1"/>
  <c r="T349" i="1"/>
  <c r="G349" i="1"/>
  <c r="F349" i="1"/>
  <c r="U348" i="1"/>
  <c r="T348" i="1"/>
  <c r="G348" i="1"/>
  <c r="F348" i="1"/>
  <c r="U347" i="1"/>
  <c r="T347" i="1"/>
  <c r="G347" i="1"/>
  <c r="F347" i="1"/>
  <c r="U346" i="1"/>
  <c r="T346" i="1"/>
  <c r="G346" i="1"/>
  <c r="F346" i="1"/>
  <c r="U345" i="1"/>
  <c r="T345" i="1"/>
  <c r="G345" i="1"/>
  <c r="F345" i="1"/>
  <c r="U344" i="1"/>
  <c r="T344" i="1"/>
  <c r="G344" i="1"/>
  <c r="F344" i="1"/>
  <c r="U343" i="1"/>
  <c r="T343" i="1"/>
  <c r="G343" i="1"/>
  <c r="F343" i="1"/>
  <c r="U342" i="1"/>
  <c r="T342" i="1"/>
  <c r="G342" i="1"/>
  <c r="F342" i="1"/>
  <c r="U341" i="1"/>
  <c r="T341" i="1"/>
  <c r="G341" i="1"/>
  <c r="F341" i="1"/>
  <c r="U340" i="1"/>
  <c r="T340" i="1"/>
  <c r="G340" i="1"/>
  <c r="F340" i="1"/>
  <c r="U339" i="1"/>
  <c r="T339" i="1"/>
  <c r="G339" i="1"/>
  <c r="F339" i="1"/>
  <c r="U338" i="1"/>
  <c r="T338" i="1"/>
  <c r="G338" i="1"/>
  <c r="F338" i="1"/>
  <c r="U337" i="1"/>
  <c r="T337" i="1"/>
  <c r="G337" i="1"/>
  <c r="F337" i="1"/>
  <c r="U336" i="1"/>
  <c r="T336" i="1"/>
  <c r="G336" i="1"/>
  <c r="F336" i="1"/>
  <c r="U335" i="1"/>
  <c r="T335" i="1"/>
  <c r="G335" i="1"/>
  <c r="F335" i="1"/>
  <c r="U334" i="1"/>
  <c r="T334" i="1"/>
  <c r="G334" i="1"/>
  <c r="F334" i="1"/>
  <c r="U333" i="1"/>
  <c r="T333" i="1"/>
  <c r="G333" i="1"/>
  <c r="F333" i="1"/>
  <c r="U332" i="1"/>
  <c r="T332" i="1"/>
  <c r="G332" i="1"/>
  <c r="F332" i="1"/>
  <c r="U331" i="1"/>
  <c r="T331" i="1"/>
  <c r="G331" i="1"/>
  <c r="F331" i="1"/>
  <c r="U330" i="1"/>
  <c r="T330" i="1"/>
  <c r="G330" i="1"/>
  <c r="F330" i="1"/>
  <c r="U329" i="1"/>
  <c r="T329" i="1"/>
  <c r="G329" i="1"/>
  <c r="F329" i="1"/>
  <c r="U328" i="1"/>
  <c r="T328" i="1"/>
  <c r="G328" i="1"/>
  <c r="F328" i="1"/>
  <c r="U327" i="1"/>
  <c r="T327" i="1"/>
  <c r="G327" i="1"/>
  <c r="F327" i="1"/>
  <c r="U324" i="1"/>
  <c r="T324" i="1"/>
  <c r="G324" i="1"/>
  <c r="F324" i="1"/>
  <c r="U323" i="1"/>
  <c r="T323" i="1"/>
  <c r="G323" i="1"/>
  <c r="F323" i="1"/>
  <c r="U322" i="1"/>
  <c r="T322" i="1"/>
  <c r="G322" i="1"/>
  <c r="F322" i="1"/>
  <c r="U321" i="1"/>
  <c r="T321" i="1"/>
  <c r="G321" i="1"/>
  <c r="F321" i="1"/>
  <c r="U320" i="1"/>
  <c r="T320" i="1"/>
  <c r="G320" i="1"/>
  <c r="F320" i="1"/>
  <c r="U319" i="1"/>
  <c r="T319" i="1"/>
  <c r="G319" i="1"/>
  <c r="F319" i="1"/>
  <c r="U318" i="1"/>
  <c r="T318" i="1"/>
  <c r="G318" i="1"/>
  <c r="F318" i="1"/>
  <c r="U317" i="1"/>
  <c r="T317" i="1"/>
  <c r="G317" i="1"/>
  <c r="F317" i="1"/>
  <c r="U316" i="1"/>
  <c r="T316" i="1"/>
  <c r="G316" i="1"/>
  <c r="F316" i="1"/>
  <c r="U315" i="1"/>
  <c r="T315" i="1"/>
  <c r="G315" i="1"/>
  <c r="F315" i="1"/>
  <c r="U314" i="1"/>
  <c r="T314" i="1"/>
  <c r="G314" i="1"/>
  <c r="F314" i="1"/>
  <c r="U313" i="1"/>
  <c r="T313" i="1"/>
  <c r="G313" i="1"/>
  <c r="F313" i="1"/>
  <c r="U312" i="1"/>
  <c r="T312" i="1"/>
  <c r="G312" i="1"/>
  <c r="F312" i="1"/>
  <c r="U311" i="1"/>
  <c r="T311" i="1"/>
  <c r="G311" i="1"/>
  <c r="F311" i="1"/>
  <c r="U310" i="1"/>
  <c r="T310" i="1"/>
  <c r="G310" i="1"/>
  <c r="F310" i="1"/>
  <c r="U309" i="1"/>
  <c r="T309" i="1"/>
  <c r="G309" i="1"/>
  <c r="F309" i="1"/>
  <c r="U308" i="1"/>
  <c r="T308" i="1"/>
  <c r="G308" i="1"/>
  <c r="F308" i="1"/>
  <c r="U307" i="1"/>
  <c r="T307" i="1"/>
  <c r="G307" i="1"/>
  <c r="F307" i="1"/>
  <c r="U306" i="1"/>
  <c r="T306" i="1"/>
  <c r="G306" i="1"/>
  <c r="F306" i="1"/>
  <c r="U305" i="1"/>
  <c r="T305" i="1"/>
  <c r="G305" i="1"/>
  <c r="F305" i="1"/>
  <c r="U304" i="1"/>
  <c r="T304" i="1"/>
  <c r="G304" i="1"/>
  <c r="F304" i="1"/>
  <c r="U303" i="1"/>
  <c r="T303" i="1"/>
  <c r="G303" i="1"/>
  <c r="F303" i="1"/>
  <c r="U302" i="1"/>
  <c r="T302" i="1"/>
  <c r="G302" i="1"/>
  <c r="F302" i="1"/>
  <c r="U301" i="1"/>
  <c r="T301" i="1"/>
  <c r="G301" i="1"/>
  <c r="F301" i="1"/>
  <c r="U300" i="1"/>
  <c r="T300" i="1"/>
  <c r="G300" i="1"/>
  <c r="F300" i="1"/>
  <c r="U299" i="1"/>
  <c r="T299" i="1"/>
  <c r="G299" i="1"/>
  <c r="F299" i="1"/>
  <c r="U298" i="1"/>
  <c r="T298" i="1"/>
  <c r="G298" i="1"/>
  <c r="F298" i="1"/>
  <c r="U297" i="1"/>
  <c r="T297" i="1"/>
  <c r="G297" i="1"/>
  <c r="F297" i="1"/>
  <c r="U296" i="1"/>
  <c r="T296" i="1"/>
  <c r="G296" i="1"/>
  <c r="F296" i="1"/>
  <c r="U295" i="1"/>
  <c r="T295" i="1"/>
  <c r="G295" i="1"/>
  <c r="F295" i="1"/>
  <c r="U294" i="1"/>
  <c r="T294" i="1"/>
  <c r="G294" i="1"/>
  <c r="F294" i="1"/>
  <c r="U293" i="1"/>
  <c r="T293" i="1"/>
  <c r="G293" i="1"/>
  <c r="F293" i="1"/>
  <c r="U292" i="1"/>
  <c r="T292" i="1"/>
  <c r="G292" i="1"/>
  <c r="F292" i="1"/>
  <c r="U291" i="1"/>
  <c r="T291" i="1"/>
  <c r="G291" i="1"/>
  <c r="F291" i="1"/>
  <c r="U290" i="1"/>
  <c r="T290" i="1"/>
  <c r="G290" i="1"/>
  <c r="F290" i="1"/>
  <c r="U289" i="1"/>
  <c r="T289" i="1"/>
  <c r="G289" i="1"/>
  <c r="F289" i="1"/>
  <c r="U288" i="1"/>
  <c r="T288" i="1"/>
  <c r="G288" i="1"/>
  <c r="F288" i="1"/>
  <c r="U287" i="1"/>
  <c r="T287" i="1"/>
  <c r="G287" i="1"/>
  <c r="F287" i="1"/>
  <c r="U286" i="1"/>
  <c r="T286" i="1"/>
  <c r="G286" i="1"/>
  <c r="F286" i="1"/>
  <c r="U285" i="1"/>
  <c r="T285" i="1"/>
  <c r="G285" i="1"/>
  <c r="F285" i="1"/>
  <c r="U284" i="1"/>
  <c r="T284" i="1"/>
  <c r="G284" i="1"/>
  <c r="F284" i="1"/>
  <c r="U283" i="1"/>
  <c r="T283" i="1"/>
  <c r="G283" i="1"/>
  <c r="F283" i="1"/>
  <c r="U282" i="1"/>
  <c r="T282" i="1"/>
  <c r="G282" i="1"/>
  <c r="F282" i="1"/>
  <c r="U281" i="1"/>
  <c r="T281" i="1"/>
  <c r="G281" i="1"/>
  <c r="F281" i="1"/>
  <c r="U280" i="1"/>
  <c r="T280" i="1"/>
  <c r="G280" i="1"/>
  <c r="F280" i="1"/>
  <c r="U279" i="1"/>
  <c r="T279" i="1"/>
  <c r="G279" i="1"/>
  <c r="F279" i="1"/>
  <c r="U278" i="1"/>
  <c r="T278" i="1"/>
  <c r="G278" i="1"/>
  <c r="F278" i="1"/>
  <c r="U277" i="1"/>
  <c r="T277" i="1"/>
  <c r="G277" i="1"/>
  <c r="F277" i="1"/>
  <c r="U276" i="1"/>
  <c r="T276" i="1"/>
  <c r="G276" i="1"/>
  <c r="F276" i="1"/>
  <c r="U275" i="1"/>
  <c r="T275" i="1"/>
  <c r="G275" i="1"/>
  <c r="F275" i="1"/>
  <c r="U274" i="1"/>
  <c r="T274" i="1"/>
  <c r="G274" i="1"/>
  <c r="F274" i="1"/>
  <c r="U273" i="1"/>
  <c r="T273" i="1"/>
  <c r="G273" i="1"/>
  <c r="F273" i="1"/>
  <c r="U272" i="1"/>
  <c r="T272" i="1"/>
  <c r="G272" i="1"/>
  <c r="F272" i="1"/>
  <c r="U271" i="1"/>
  <c r="T271" i="1"/>
  <c r="G271" i="1"/>
  <c r="F271" i="1"/>
  <c r="U270" i="1"/>
  <c r="T270" i="1"/>
  <c r="G270" i="1"/>
  <c r="F270" i="1"/>
  <c r="U269" i="1"/>
  <c r="T269" i="1"/>
  <c r="G269" i="1"/>
  <c r="F269" i="1"/>
  <c r="U268" i="1"/>
  <c r="T268" i="1"/>
  <c r="G268" i="1"/>
  <c r="F268" i="1"/>
  <c r="U267" i="1"/>
  <c r="T267" i="1"/>
  <c r="G267" i="1"/>
  <c r="F267" i="1"/>
  <c r="U266" i="1"/>
  <c r="T266" i="1"/>
  <c r="G266" i="1"/>
  <c r="F266" i="1"/>
  <c r="U265" i="1"/>
  <c r="T265" i="1"/>
  <c r="G265" i="1"/>
  <c r="F265" i="1"/>
  <c r="U264" i="1"/>
  <c r="T264" i="1"/>
  <c r="G264" i="1"/>
  <c r="F264" i="1"/>
  <c r="U263" i="1"/>
  <c r="T263" i="1"/>
  <c r="G263" i="1"/>
  <c r="F263" i="1"/>
  <c r="U262" i="1"/>
  <c r="T262" i="1"/>
  <c r="G262" i="1"/>
  <c r="F262" i="1"/>
  <c r="U261" i="1"/>
  <c r="T261" i="1"/>
  <c r="G261" i="1"/>
  <c r="F261" i="1"/>
  <c r="U260" i="1"/>
  <c r="T260" i="1"/>
  <c r="G260" i="1"/>
  <c r="F260" i="1"/>
  <c r="U259" i="1"/>
  <c r="T259" i="1"/>
  <c r="G259" i="1"/>
  <c r="F259" i="1"/>
  <c r="U258" i="1"/>
  <c r="T258" i="1"/>
  <c r="G258" i="1"/>
  <c r="F258" i="1"/>
  <c r="U257" i="1"/>
  <c r="T257" i="1"/>
  <c r="G257" i="1"/>
  <c r="F257" i="1"/>
  <c r="U256" i="1"/>
  <c r="T256" i="1"/>
  <c r="G256" i="1"/>
  <c r="F256" i="1"/>
  <c r="U255" i="1"/>
  <c r="T255" i="1"/>
  <c r="G255" i="1"/>
  <c r="F255" i="1"/>
  <c r="U254" i="1"/>
  <c r="T254" i="1"/>
  <c r="G254" i="1"/>
  <c r="F254" i="1"/>
  <c r="U253" i="1"/>
  <c r="T253" i="1"/>
  <c r="G253" i="1"/>
  <c r="F253" i="1"/>
  <c r="U252" i="1"/>
  <c r="T252" i="1"/>
  <c r="G252" i="1"/>
  <c r="F252" i="1"/>
  <c r="U251" i="1"/>
  <c r="T251" i="1"/>
  <c r="G251" i="1"/>
  <c r="F251" i="1"/>
  <c r="U249" i="1"/>
  <c r="T249" i="1"/>
  <c r="G249" i="1"/>
  <c r="F249" i="1"/>
  <c r="U248" i="1"/>
  <c r="T248" i="1"/>
  <c r="G248" i="1"/>
  <c r="F248" i="1"/>
  <c r="U247" i="1"/>
  <c r="T247" i="1"/>
  <c r="G247" i="1"/>
  <c r="F247" i="1"/>
  <c r="U246" i="1"/>
  <c r="T246" i="1"/>
  <c r="G246" i="1"/>
  <c r="F246" i="1"/>
  <c r="U245" i="1"/>
  <c r="T245" i="1"/>
  <c r="G245" i="1"/>
  <c r="F245" i="1"/>
  <c r="U244" i="1"/>
  <c r="T244" i="1"/>
  <c r="G244" i="1"/>
  <c r="F244" i="1"/>
  <c r="U243" i="1"/>
  <c r="T243" i="1"/>
  <c r="G243" i="1"/>
  <c r="F243" i="1"/>
  <c r="U242" i="1"/>
  <c r="T242" i="1"/>
  <c r="G242" i="1"/>
  <c r="F242" i="1"/>
  <c r="AH241" i="1"/>
  <c r="U241" i="1"/>
  <c r="T241" i="1"/>
  <c r="G241" i="1"/>
  <c r="F241" i="1"/>
  <c r="AH240" i="1"/>
  <c r="U240" i="1"/>
  <c r="T240" i="1"/>
  <c r="G240" i="1"/>
  <c r="F240" i="1"/>
  <c r="AH239" i="1"/>
  <c r="U239" i="1"/>
  <c r="T239" i="1"/>
  <c r="G239" i="1"/>
  <c r="F239" i="1"/>
  <c r="AH238" i="1"/>
  <c r="U238" i="1"/>
  <c r="T238" i="1"/>
  <c r="G238" i="1"/>
  <c r="F238" i="1"/>
  <c r="AH237" i="1"/>
  <c r="U237" i="1"/>
  <c r="T237" i="1"/>
  <c r="G237" i="1"/>
  <c r="F237" i="1"/>
  <c r="AH236" i="1"/>
  <c r="U236" i="1"/>
  <c r="T236" i="1"/>
  <c r="G236" i="1"/>
  <c r="F236" i="1"/>
  <c r="AH235" i="1"/>
  <c r="U235" i="1"/>
  <c r="T235" i="1"/>
  <c r="G235" i="1"/>
  <c r="F235" i="1"/>
  <c r="AH234" i="1"/>
  <c r="U234" i="1"/>
  <c r="T234" i="1"/>
  <c r="G234" i="1"/>
  <c r="F234" i="1"/>
  <c r="AH233" i="1"/>
  <c r="U233" i="1"/>
  <c r="T233" i="1"/>
  <c r="G233" i="1"/>
  <c r="F233" i="1"/>
  <c r="AH232" i="1"/>
  <c r="U232" i="1"/>
  <c r="T232" i="1"/>
  <c r="G232" i="1"/>
  <c r="F232" i="1"/>
  <c r="AH231" i="1"/>
  <c r="U231" i="1"/>
  <c r="T231" i="1"/>
  <c r="G231" i="1"/>
  <c r="F231" i="1"/>
  <c r="AH230" i="1"/>
  <c r="U230" i="1"/>
  <c r="T230" i="1"/>
  <c r="G230" i="1"/>
  <c r="F230" i="1"/>
  <c r="AH229" i="1"/>
  <c r="U229" i="1"/>
  <c r="T229" i="1"/>
  <c r="G229" i="1"/>
  <c r="F229" i="1"/>
  <c r="AH228" i="1"/>
  <c r="U228" i="1"/>
  <c r="T228" i="1"/>
  <c r="G228" i="1"/>
  <c r="F228" i="1"/>
  <c r="AH227" i="1"/>
  <c r="U227" i="1"/>
  <c r="T227" i="1"/>
  <c r="G227" i="1"/>
  <c r="F227" i="1"/>
  <c r="AH226" i="1"/>
  <c r="U226" i="1"/>
  <c r="T226" i="1"/>
  <c r="G226" i="1"/>
  <c r="F226" i="1"/>
  <c r="AH225" i="1"/>
  <c r="U225" i="1"/>
  <c r="T225" i="1"/>
  <c r="G225" i="1"/>
  <c r="F225" i="1"/>
  <c r="AH224" i="1"/>
  <c r="U224" i="1"/>
  <c r="T224" i="1"/>
  <c r="G224" i="1"/>
  <c r="F224" i="1"/>
  <c r="AH223" i="1"/>
  <c r="U223" i="1"/>
  <c r="T223" i="1"/>
  <c r="G223" i="1"/>
  <c r="F223" i="1"/>
  <c r="AH222" i="1"/>
  <c r="U222" i="1"/>
  <c r="T222" i="1"/>
  <c r="G222" i="1"/>
  <c r="F222" i="1"/>
  <c r="AH221" i="1"/>
  <c r="U221" i="1"/>
  <c r="T221" i="1"/>
  <c r="G221" i="1"/>
  <c r="F221" i="1"/>
  <c r="AH220" i="1"/>
  <c r="U220" i="1"/>
  <c r="T220" i="1"/>
  <c r="G220" i="1"/>
  <c r="F220" i="1"/>
  <c r="AH219" i="1"/>
  <c r="U219" i="1"/>
  <c r="T219" i="1"/>
  <c r="G219" i="1"/>
  <c r="F219" i="1"/>
  <c r="AH218" i="1"/>
  <c r="U218" i="1"/>
  <c r="T218" i="1"/>
  <c r="G218" i="1"/>
  <c r="F218" i="1"/>
  <c r="AH217" i="1"/>
  <c r="U217" i="1"/>
  <c r="T217" i="1"/>
  <c r="G217" i="1"/>
  <c r="F217" i="1"/>
  <c r="AH216" i="1"/>
  <c r="U216" i="1"/>
  <c r="T216" i="1"/>
  <c r="G216" i="1"/>
  <c r="F216" i="1"/>
  <c r="U215" i="1"/>
  <c r="T215" i="1"/>
  <c r="G215" i="1"/>
  <c r="F215" i="1"/>
  <c r="U214" i="1"/>
  <c r="T214" i="1"/>
  <c r="G214" i="1"/>
  <c r="F214" i="1"/>
  <c r="U213" i="1"/>
  <c r="T213" i="1"/>
  <c r="G213" i="1"/>
  <c r="F213" i="1"/>
  <c r="U212" i="1"/>
  <c r="T212" i="1"/>
  <c r="G212" i="1"/>
  <c r="F212" i="1"/>
  <c r="U211" i="1"/>
  <c r="T211" i="1"/>
  <c r="G211" i="1"/>
  <c r="F211" i="1"/>
  <c r="U210" i="1"/>
  <c r="T210" i="1"/>
  <c r="G210" i="1"/>
  <c r="F210" i="1"/>
  <c r="U209" i="1"/>
  <c r="T209" i="1"/>
  <c r="G209" i="1"/>
  <c r="F209" i="1"/>
  <c r="U208" i="1"/>
  <c r="T208" i="1"/>
  <c r="G208" i="1"/>
  <c r="F208" i="1"/>
  <c r="U207" i="1"/>
  <c r="T207" i="1"/>
  <c r="G207" i="1"/>
  <c r="F207" i="1"/>
  <c r="U206" i="1"/>
  <c r="T206" i="1"/>
  <c r="G206" i="1"/>
  <c r="F206" i="1"/>
  <c r="U205" i="1"/>
  <c r="T205" i="1"/>
  <c r="G205" i="1"/>
  <c r="F205" i="1"/>
  <c r="U204" i="1"/>
  <c r="T204" i="1"/>
  <c r="G204" i="1"/>
  <c r="F204" i="1"/>
  <c r="U203" i="1"/>
  <c r="T203" i="1"/>
  <c r="G203" i="1"/>
  <c r="F203" i="1"/>
  <c r="U202" i="1"/>
  <c r="T202" i="1"/>
  <c r="G202" i="1"/>
  <c r="F202" i="1"/>
  <c r="U201" i="1"/>
  <c r="T201" i="1"/>
  <c r="G201" i="1"/>
  <c r="F201" i="1"/>
  <c r="U200" i="1"/>
  <c r="T200" i="1"/>
  <c r="G200" i="1"/>
  <c r="F200" i="1"/>
  <c r="U199" i="1"/>
  <c r="T199" i="1"/>
  <c r="G199" i="1"/>
  <c r="F199" i="1"/>
  <c r="U198" i="1"/>
  <c r="T198" i="1"/>
  <c r="G198" i="1"/>
  <c r="F198" i="1"/>
  <c r="U197" i="1"/>
  <c r="T197" i="1"/>
  <c r="G197" i="1"/>
  <c r="F197" i="1"/>
  <c r="U196" i="1"/>
  <c r="T196" i="1"/>
  <c r="G196" i="1"/>
  <c r="F196" i="1"/>
  <c r="U195" i="1"/>
  <c r="T195" i="1"/>
  <c r="G195" i="1"/>
  <c r="F195" i="1"/>
  <c r="U194" i="1"/>
  <c r="T194" i="1"/>
  <c r="G194" i="1"/>
  <c r="F194" i="1"/>
  <c r="U193" i="1"/>
  <c r="T193" i="1"/>
  <c r="G193" i="1"/>
  <c r="F193" i="1"/>
  <c r="U192" i="1"/>
  <c r="T192" i="1"/>
  <c r="G192" i="1"/>
  <c r="F192" i="1"/>
  <c r="U191" i="1"/>
  <c r="T191" i="1"/>
  <c r="G191" i="1"/>
  <c r="F191" i="1"/>
  <c r="U190" i="1"/>
  <c r="T190" i="1"/>
  <c r="G190" i="1"/>
  <c r="F190" i="1"/>
  <c r="U189" i="1"/>
  <c r="T189" i="1"/>
  <c r="G189" i="1"/>
  <c r="F189" i="1"/>
  <c r="U188" i="1"/>
  <c r="T188" i="1"/>
  <c r="G188" i="1"/>
  <c r="F188" i="1"/>
  <c r="U187" i="1"/>
  <c r="T187" i="1"/>
  <c r="G187" i="1"/>
  <c r="F187" i="1"/>
  <c r="U186" i="1"/>
  <c r="T186" i="1"/>
  <c r="G186" i="1"/>
  <c r="F186" i="1"/>
  <c r="U185" i="1"/>
  <c r="T185" i="1"/>
  <c r="G185" i="1"/>
  <c r="F185" i="1"/>
  <c r="U184" i="1"/>
  <c r="T184" i="1"/>
  <c r="G184" i="1"/>
  <c r="F184" i="1"/>
  <c r="U183" i="1"/>
  <c r="T183" i="1"/>
  <c r="G183" i="1"/>
  <c r="F183" i="1"/>
  <c r="U182" i="1"/>
  <c r="T182" i="1"/>
  <c r="G182" i="1"/>
  <c r="F182" i="1"/>
  <c r="U157" i="1"/>
  <c r="T157" i="1"/>
  <c r="G157" i="1"/>
  <c r="F157" i="1"/>
  <c r="U156" i="1"/>
  <c r="T156" i="1"/>
  <c r="G156" i="1"/>
  <c r="F156" i="1"/>
  <c r="U155" i="1"/>
  <c r="T155" i="1"/>
  <c r="G155" i="1"/>
  <c r="F155" i="1"/>
  <c r="U154" i="1"/>
  <c r="T154" i="1"/>
  <c r="G154" i="1"/>
  <c r="F154" i="1"/>
  <c r="U153" i="1"/>
  <c r="T153" i="1"/>
  <c r="G153" i="1"/>
  <c r="F153" i="1"/>
  <c r="U152" i="1"/>
  <c r="T152" i="1"/>
  <c r="G152" i="1"/>
  <c r="F152" i="1"/>
  <c r="U151" i="1"/>
  <c r="T151" i="1"/>
  <c r="G151" i="1"/>
  <c r="F151" i="1"/>
  <c r="U150" i="1"/>
  <c r="T150" i="1"/>
  <c r="G150" i="1"/>
  <c r="F150" i="1"/>
  <c r="U149" i="1"/>
  <c r="T149" i="1"/>
  <c r="G149" i="1"/>
  <c r="F149" i="1"/>
  <c r="U148" i="1"/>
  <c r="T148" i="1"/>
  <c r="G148" i="1"/>
  <c r="F148" i="1"/>
  <c r="U147" i="1"/>
  <c r="T147" i="1"/>
  <c r="G147" i="1"/>
  <c r="F147" i="1"/>
  <c r="U146" i="1"/>
  <c r="T146" i="1"/>
  <c r="G146" i="1"/>
  <c r="F146" i="1"/>
  <c r="U145" i="1"/>
  <c r="T145" i="1"/>
  <c r="G145" i="1"/>
  <c r="F145" i="1"/>
  <c r="U144" i="1"/>
  <c r="T144" i="1"/>
  <c r="G144" i="1"/>
  <c r="F144" i="1"/>
  <c r="U143" i="1"/>
  <c r="T143" i="1"/>
  <c r="G143" i="1"/>
  <c r="F143" i="1"/>
  <c r="U142" i="1"/>
  <c r="T142" i="1"/>
  <c r="G142" i="1"/>
  <c r="F142" i="1"/>
  <c r="U141" i="1"/>
  <c r="T141" i="1"/>
  <c r="G141" i="1"/>
  <c r="F141" i="1"/>
  <c r="U140" i="1"/>
  <c r="T140" i="1"/>
  <c r="G140" i="1"/>
  <c r="F140" i="1"/>
  <c r="U139" i="1"/>
  <c r="T139" i="1"/>
  <c r="G139" i="1"/>
  <c r="F139" i="1"/>
  <c r="U138" i="1"/>
  <c r="T138" i="1"/>
  <c r="G138" i="1"/>
  <c r="F138" i="1"/>
  <c r="U137" i="1"/>
  <c r="T137" i="1"/>
  <c r="G137" i="1"/>
  <c r="F137" i="1"/>
  <c r="U136" i="1"/>
  <c r="T136" i="1"/>
  <c r="G136" i="1"/>
  <c r="F136" i="1"/>
  <c r="U135" i="1"/>
  <c r="T135" i="1"/>
  <c r="G135" i="1"/>
  <c r="F135" i="1"/>
  <c r="U134" i="1"/>
  <c r="T134" i="1"/>
  <c r="G134" i="1"/>
  <c r="F134" i="1"/>
  <c r="U133" i="1"/>
  <c r="T133" i="1"/>
  <c r="G133" i="1"/>
  <c r="F133" i="1"/>
  <c r="U132" i="1"/>
  <c r="T132" i="1"/>
  <c r="G132" i="1"/>
  <c r="F132" i="1"/>
  <c r="U131" i="1"/>
  <c r="T131" i="1"/>
  <c r="G131" i="1"/>
  <c r="F131" i="1"/>
  <c r="U130" i="1"/>
  <c r="T130" i="1"/>
  <c r="G130" i="1"/>
  <c r="F130" i="1"/>
  <c r="U129" i="1"/>
  <c r="T129" i="1"/>
  <c r="G129" i="1"/>
  <c r="F129" i="1"/>
  <c r="U128" i="1"/>
  <c r="T128" i="1"/>
  <c r="G128" i="1"/>
  <c r="F128" i="1"/>
  <c r="U127" i="1"/>
  <c r="T127" i="1"/>
  <c r="G127" i="1"/>
  <c r="F127" i="1"/>
  <c r="U126" i="1"/>
  <c r="T126" i="1"/>
  <c r="G126" i="1"/>
  <c r="F126" i="1"/>
  <c r="U125" i="1"/>
  <c r="T125" i="1"/>
  <c r="G125" i="1"/>
  <c r="F125" i="1"/>
  <c r="U124" i="1"/>
  <c r="T124" i="1"/>
  <c r="G124" i="1"/>
  <c r="F124" i="1"/>
  <c r="U123" i="1"/>
  <c r="T123" i="1"/>
  <c r="G123" i="1"/>
  <c r="F123" i="1"/>
  <c r="U122" i="1"/>
  <c r="T122" i="1"/>
  <c r="G122" i="1"/>
  <c r="F122" i="1"/>
  <c r="U121" i="1"/>
  <c r="T121" i="1"/>
  <c r="G121" i="1"/>
  <c r="F121" i="1"/>
  <c r="U120" i="1"/>
  <c r="T120" i="1"/>
  <c r="G120" i="1"/>
  <c r="F120" i="1"/>
  <c r="U119" i="1"/>
  <c r="T119" i="1"/>
  <c r="G119" i="1"/>
  <c r="F119" i="1"/>
  <c r="U118" i="1"/>
  <c r="T118" i="1"/>
  <c r="G118" i="1"/>
  <c r="F118" i="1"/>
  <c r="U117" i="1"/>
  <c r="T117" i="1"/>
  <c r="G117" i="1"/>
  <c r="F117" i="1"/>
  <c r="U116" i="1"/>
  <c r="T116" i="1"/>
  <c r="G116" i="1"/>
  <c r="F116" i="1"/>
  <c r="U115" i="1"/>
  <c r="T115" i="1"/>
  <c r="G115" i="1"/>
  <c r="F115" i="1"/>
  <c r="U114" i="1"/>
  <c r="T114" i="1"/>
  <c r="G114" i="1"/>
  <c r="F114" i="1"/>
  <c r="U113" i="1"/>
  <c r="T113" i="1"/>
  <c r="G113" i="1"/>
  <c r="F113" i="1"/>
  <c r="U112" i="1"/>
  <c r="T112" i="1"/>
  <c r="G112" i="1"/>
  <c r="F112" i="1"/>
  <c r="U111" i="1"/>
  <c r="T111" i="1"/>
  <c r="G111" i="1"/>
  <c r="F111" i="1"/>
  <c r="U110" i="1"/>
  <c r="T110" i="1"/>
  <c r="G110" i="1"/>
  <c r="F110" i="1"/>
  <c r="U109" i="1"/>
  <c r="T109" i="1"/>
  <c r="G109" i="1"/>
  <c r="F109" i="1"/>
  <c r="U108" i="1"/>
  <c r="T108" i="1"/>
  <c r="G108" i="1"/>
  <c r="F108" i="1"/>
  <c r="U107" i="1"/>
  <c r="T107" i="1"/>
  <c r="G107" i="1"/>
  <c r="F107" i="1"/>
  <c r="U106" i="1"/>
  <c r="T106" i="1"/>
  <c r="G106" i="1"/>
  <c r="F106" i="1"/>
  <c r="U105" i="1"/>
  <c r="T105" i="1"/>
  <c r="G105" i="1"/>
  <c r="F105" i="1"/>
  <c r="U104" i="1"/>
  <c r="T104" i="1"/>
  <c r="G104" i="1"/>
  <c r="F104" i="1"/>
  <c r="U103" i="1"/>
  <c r="T103" i="1"/>
  <c r="G103" i="1"/>
  <c r="F103" i="1"/>
  <c r="U102" i="1"/>
  <c r="T102" i="1"/>
  <c r="G102" i="1"/>
  <c r="F102" i="1"/>
  <c r="U101" i="1"/>
  <c r="T101" i="1"/>
  <c r="G101" i="1"/>
  <c r="F101" i="1"/>
  <c r="U100" i="1"/>
  <c r="T100" i="1"/>
  <c r="G100" i="1"/>
  <c r="F100" i="1"/>
  <c r="U99" i="1"/>
  <c r="T99" i="1"/>
  <c r="G99" i="1"/>
  <c r="F99" i="1"/>
  <c r="U98" i="1"/>
  <c r="T98" i="1"/>
  <c r="G98" i="1"/>
  <c r="F98" i="1"/>
  <c r="U97" i="1"/>
  <c r="T97" i="1"/>
  <c r="G97" i="1"/>
  <c r="F97" i="1"/>
  <c r="U96" i="1"/>
  <c r="T96" i="1"/>
  <c r="G96" i="1"/>
  <c r="F96" i="1"/>
  <c r="U95" i="1"/>
  <c r="T95" i="1"/>
  <c r="G95" i="1"/>
  <c r="F95" i="1"/>
  <c r="U94" i="1"/>
  <c r="T94" i="1"/>
  <c r="G94" i="1"/>
  <c r="F94" i="1"/>
  <c r="U93" i="1"/>
  <c r="T93" i="1"/>
  <c r="G93" i="1"/>
  <c r="F93" i="1"/>
  <c r="U92" i="1"/>
  <c r="T92" i="1"/>
  <c r="G92" i="1"/>
  <c r="F92" i="1"/>
  <c r="U91" i="1"/>
  <c r="T91" i="1"/>
  <c r="G91" i="1"/>
  <c r="F91" i="1"/>
  <c r="U90" i="1"/>
  <c r="T90" i="1"/>
  <c r="G90" i="1"/>
  <c r="F90" i="1"/>
  <c r="U89" i="1"/>
  <c r="T89" i="1"/>
  <c r="G89" i="1"/>
  <c r="F89" i="1"/>
  <c r="U88" i="1"/>
  <c r="T88" i="1"/>
  <c r="G88" i="1"/>
  <c r="F88" i="1"/>
  <c r="U87" i="1"/>
  <c r="T87" i="1"/>
  <c r="G87" i="1"/>
  <c r="F87" i="1"/>
  <c r="U86" i="1"/>
  <c r="T86" i="1"/>
  <c r="G86" i="1"/>
  <c r="F86" i="1"/>
  <c r="U85" i="1"/>
  <c r="T85" i="1"/>
  <c r="G85" i="1"/>
  <c r="F85" i="1"/>
  <c r="U84" i="1"/>
  <c r="T84" i="1"/>
  <c r="G84" i="1"/>
  <c r="F84" i="1"/>
  <c r="U83" i="1"/>
  <c r="T83" i="1"/>
  <c r="G83" i="1"/>
  <c r="F83" i="1"/>
  <c r="U82" i="1"/>
  <c r="T82" i="1"/>
  <c r="G82" i="1"/>
  <c r="F82" i="1"/>
  <c r="U80" i="1"/>
  <c r="T80" i="1"/>
  <c r="G80" i="1"/>
  <c r="F80" i="1"/>
  <c r="U79" i="1"/>
  <c r="T79" i="1"/>
  <c r="G79" i="1"/>
  <c r="F79" i="1"/>
  <c r="U78" i="1"/>
  <c r="T78" i="1"/>
  <c r="G78" i="1"/>
  <c r="F78" i="1"/>
  <c r="U77" i="1"/>
  <c r="T77" i="1"/>
  <c r="G77" i="1"/>
  <c r="F77" i="1"/>
  <c r="U76" i="1"/>
  <c r="T76" i="1"/>
  <c r="G76" i="1"/>
  <c r="F76" i="1"/>
  <c r="U75" i="1"/>
  <c r="T75" i="1"/>
  <c r="G75" i="1"/>
  <c r="F75" i="1"/>
  <c r="U74" i="1"/>
  <c r="T74" i="1"/>
  <c r="G74" i="1"/>
  <c r="F74" i="1"/>
  <c r="U73" i="1"/>
  <c r="T73" i="1"/>
  <c r="G73" i="1"/>
  <c r="F73" i="1"/>
  <c r="U72" i="1"/>
  <c r="T72" i="1"/>
  <c r="G72" i="1"/>
  <c r="F72" i="1"/>
  <c r="U71" i="1"/>
  <c r="T71" i="1"/>
  <c r="G71" i="1"/>
  <c r="F71" i="1"/>
  <c r="U70" i="1"/>
  <c r="T70" i="1"/>
  <c r="G70" i="1"/>
  <c r="F70" i="1"/>
  <c r="U69" i="1"/>
  <c r="T69" i="1"/>
  <c r="G69" i="1"/>
  <c r="F69" i="1"/>
  <c r="U68" i="1"/>
  <c r="T68" i="1"/>
  <c r="G68" i="1"/>
  <c r="F68" i="1"/>
  <c r="U67" i="1"/>
  <c r="T67" i="1"/>
  <c r="G67" i="1"/>
  <c r="F67" i="1"/>
  <c r="U66" i="1"/>
  <c r="T66" i="1"/>
  <c r="G66" i="1"/>
  <c r="F66" i="1"/>
  <c r="U65" i="1"/>
  <c r="T65" i="1"/>
  <c r="G65" i="1"/>
  <c r="F65" i="1"/>
  <c r="U64" i="1"/>
  <c r="T64" i="1"/>
  <c r="G64" i="1"/>
  <c r="F64" i="1"/>
  <c r="U63" i="1"/>
  <c r="T63" i="1"/>
  <c r="G63" i="1"/>
  <c r="F63" i="1"/>
  <c r="U62" i="1"/>
  <c r="T62" i="1"/>
  <c r="G62" i="1"/>
  <c r="F62" i="1"/>
  <c r="U61" i="1"/>
  <c r="T61" i="1"/>
  <c r="G61" i="1"/>
  <c r="F61" i="1"/>
  <c r="U60" i="1"/>
  <c r="T60" i="1"/>
  <c r="G60" i="1"/>
  <c r="F60" i="1"/>
  <c r="U59" i="1"/>
  <c r="T59" i="1"/>
  <c r="G59" i="1"/>
  <c r="F59" i="1"/>
  <c r="U58" i="1"/>
  <c r="T58" i="1"/>
  <c r="G58" i="1"/>
  <c r="F58" i="1"/>
  <c r="U57" i="1"/>
  <c r="T57" i="1"/>
  <c r="G57" i="1"/>
  <c r="F57" i="1"/>
  <c r="U56" i="1"/>
  <c r="T56" i="1"/>
  <c r="G56" i="1"/>
  <c r="F56" i="1"/>
  <c r="U55" i="1"/>
  <c r="T55" i="1"/>
  <c r="G55" i="1"/>
  <c r="F55" i="1"/>
  <c r="U54" i="1"/>
  <c r="T54" i="1"/>
  <c r="G54" i="1"/>
  <c r="F54" i="1"/>
  <c r="U53" i="1"/>
  <c r="T53" i="1"/>
  <c r="G53" i="1"/>
  <c r="F53" i="1"/>
  <c r="U52" i="1"/>
  <c r="T52" i="1"/>
  <c r="G52" i="1"/>
  <c r="F52" i="1"/>
  <c r="U51" i="1"/>
  <c r="T51" i="1"/>
  <c r="G51" i="1"/>
  <c r="F51" i="1"/>
  <c r="U50" i="1"/>
  <c r="T50" i="1"/>
  <c r="G50" i="1"/>
  <c r="F50" i="1"/>
  <c r="U49" i="1"/>
  <c r="T49" i="1"/>
  <c r="G49" i="1"/>
  <c r="F49" i="1"/>
  <c r="U48" i="1"/>
  <c r="T48" i="1"/>
  <c r="G48" i="1"/>
  <c r="F48" i="1"/>
  <c r="U47" i="1"/>
  <c r="T47" i="1"/>
  <c r="G47" i="1"/>
  <c r="F47" i="1"/>
  <c r="U46" i="1"/>
  <c r="T46" i="1"/>
  <c r="G46" i="1"/>
  <c r="F46" i="1"/>
  <c r="U45" i="1"/>
  <c r="T45" i="1"/>
  <c r="G45" i="1"/>
  <c r="F45" i="1"/>
  <c r="U44" i="1"/>
  <c r="T44" i="1"/>
  <c r="G44" i="1"/>
  <c r="F44" i="1"/>
  <c r="U43" i="1"/>
  <c r="T43" i="1"/>
  <c r="G43" i="1"/>
  <c r="F43" i="1"/>
  <c r="U42" i="1"/>
  <c r="T42" i="1"/>
  <c r="G42" i="1"/>
  <c r="F42" i="1"/>
  <c r="U41" i="1"/>
  <c r="T41" i="1"/>
  <c r="G41" i="1"/>
  <c r="F41" i="1"/>
  <c r="U40" i="1"/>
  <c r="T40" i="1"/>
  <c r="G40" i="1"/>
  <c r="F40" i="1"/>
  <c r="U39" i="1"/>
  <c r="T39" i="1"/>
  <c r="G39" i="1"/>
  <c r="F39" i="1"/>
  <c r="U38" i="1"/>
  <c r="T38" i="1"/>
  <c r="G38" i="1"/>
  <c r="F38" i="1"/>
  <c r="U37" i="1"/>
  <c r="T37" i="1"/>
  <c r="G37" i="1"/>
  <c r="F37" i="1"/>
  <c r="U36" i="1"/>
  <c r="T36" i="1"/>
  <c r="G36" i="1"/>
  <c r="F36" i="1"/>
  <c r="U35" i="1"/>
  <c r="T35" i="1"/>
  <c r="G35" i="1"/>
  <c r="F35" i="1"/>
  <c r="U34" i="1"/>
  <c r="T34" i="1"/>
  <c r="G34" i="1"/>
  <c r="F34" i="1"/>
  <c r="U33" i="1"/>
  <c r="T33" i="1"/>
  <c r="G33" i="1"/>
  <c r="F33" i="1"/>
  <c r="U32" i="1"/>
  <c r="T32" i="1"/>
  <c r="G32" i="1"/>
  <c r="F32" i="1"/>
  <c r="U31" i="1"/>
  <c r="T31" i="1"/>
  <c r="G31" i="1"/>
  <c r="F31" i="1"/>
  <c r="U30" i="1"/>
  <c r="T30" i="1"/>
  <c r="G30" i="1"/>
  <c r="F30" i="1"/>
  <c r="U29" i="1"/>
  <c r="T29" i="1"/>
  <c r="G29" i="1"/>
  <c r="F29" i="1"/>
  <c r="U28" i="1"/>
  <c r="T28" i="1"/>
  <c r="G28" i="1"/>
  <c r="F28" i="1"/>
  <c r="U27" i="1"/>
  <c r="T27" i="1"/>
  <c r="G27" i="1"/>
  <c r="F27" i="1"/>
  <c r="U26" i="1"/>
  <c r="T26" i="1"/>
  <c r="G26" i="1"/>
  <c r="F26" i="1"/>
  <c r="U25" i="1"/>
  <c r="T25" i="1"/>
  <c r="G25" i="1"/>
  <c r="F25" i="1"/>
  <c r="U24" i="1"/>
  <c r="T24" i="1"/>
  <c r="G24" i="1"/>
  <c r="F24" i="1"/>
  <c r="U23" i="1"/>
  <c r="T23" i="1"/>
  <c r="G23" i="1"/>
  <c r="F23" i="1"/>
  <c r="U22" i="1"/>
  <c r="T22" i="1"/>
  <c r="G22" i="1"/>
  <c r="F22" i="1"/>
  <c r="U21" i="1"/>
  <c r="T21" i="1"/>
  <c r="G21" i="1"/>
  <c r="F21" i="1"/>
  <c r="U20" i="1"/>
  <c r="T20" i="1"/>
  <c r="G20" i="1"/>
  <c r="F20" i="1"/>
  <c r="U19" i="1"/>
  <c r="T19" i="1"/>
  <c r="G19" i="1"/>
  <c r="F19" i="1"/>
  <c r="U18" i="1"/>
  <c r="T18" i="1"/>
  <c r="G18" i="1"/>
  <c r="F18" i="1"/>
  <c r="U17" i="1"/>
  <c r="T17" i="1"/>
  <c r="G17" i="1"/>
  <c r="F17" i="1"/>
  <c r="U16" i="1"/>
  <c r="T16" i="1"/>
  <c r="G16" i="1"/>
  <c r="F16" i="1"/>
  <c r="U15" i="1"/>
  <c r="T15" i="1"/>
  <c r="G15" i="1"/>
  <c r="F15" i="1"/>
  <c r="U14" i="1"/>
  <c r="T14" i="1"/>
  <c r="G14" i="1"/>
  <c r="F14" i="1"/>
  <c r="U13" i="1"/>
  <c r="T13" i="1"/>
  <c r="G13" i="1"/>
  <c r="F13" i="1"/>
  <c r="U12" i="1"/>
  <c r="T12" i="1"/>
  <c r="G12" i="1"/>
  <c r="F12" i="1"/>
  <c r="U11" i="1"/>
  <c r="T11" i="1"/>
  <c r="G11" i="1"/>
  <c r="F11" i="1"/>
  <c r="U10" i="1"/>
  <c r="T10" i="1"/>
  <c r="G10" i="1"/>
  <c r="F10" i="1"/>
  <c r="U9" i="1"/>
  <c r="T9" i="1"/>
  <c r="G9" i="1"/>
  <c r="F9" i="1"/>
  <c r="U8" i="1"/>
  <c r="T8" i="1"/>
  <c r="G8" i="1"/>
  <c r="F8" i="1"/>
  <c r="U7" i="1"/>
  <c r="T7" i="1"/>
  <c r="G7" i="1"/>
  <c r="F7" i="1"/>
  <c r="U599" i="1" l="1"/>
  <c r="T599" i="1"/>
  <c r="G599" i="1"/>
  <c r="F599" i="1"/>
  <c r="U598" i="1"/>
  <c r="T598" i="1"/>
  <c r="G598" i="1"/>
  <c r="F598" i="1"/>
  <c r="U597" i="1"/>
  <c r="T597" i="1"/>
  <c r="G597" i="1"/>
  <c r="F597" i="1"/>
  <c r="U596" i="1"/>
  <c r="T596" i="1"/>
  <c r="G596" i="1"/>
  <c r="F596" i="1"/>
  <c r="U595" i="1"/>
  <c r="T595" i="1"/>
  <c r="G595" i="1"/>
  <c r="F595" i="1"/>
  <c r="U594" i="1"/>
  <c r="T594" i="1"/>
  <c r="G594" i="1"/>
  <c r="F594" i="1"/>
  <c r="U593" i="1"/>
  <c r="T593" i="1"/>
  <c r="G593" i="1"/>
  <c r="F593" i="1"/>
  <c r="U592" i="1"/>
  <c r="T592" i="1"/>
  <c r="G592" i="1"/>
  <c r="F592" i="1"/>
  <c r="U591" i="1"/>
  <c r="T591" i="1"/>
  <c r="G591" i="1"/>
  <c r="F591" i="1"/>
  <c r="U590" i="1"/>
  <c r="T590" i="1"/>
  <c r="G590" i="1"/>
  <c r="F590" i="1"/>
  <c r="U589" i="1"/>
  <c r="T589" i="1"/>
  <c r="G589" i="1"/>
  <c r="F589" i="1"/>
  <c r="U588" i="1"/>
  <c r="T588" i="1"/>
  <c r="G588" i="1"/>
  <c r="F588" i="1"/>
  <c r="U587" i="1"/>
  <c r="T587" i="1"/>
  <c r="G587" i="1"/>
  <c r="F587" i="1"/>
  <c r="U586" i="1"/>
  <c r="T586" i="1"/>
  <c r="G586" i="1"/>
  <c r="F586" i="1"/>
  <c r="U585" i="1"/>
  <c r="T585" i="1"/>
  <c r="G585" i="1"/>
  <c r="F585" i="1"/>
  <c r="U584" i="1"/>
  <c r="T584" i="1"/>
  <c r="G584" i="1"/>
  <c r="F584" i="1"/>
  <c r="U583" i="1"/>
  <c r="T583" i="1"/>
  <c r="G583" i="1"/>
  <c r="F583" i="1"/>
  <c r="U582" i="1"/>
  <c r="T582" i="1"/>
  <c r="G582" i="1"/>
  <c r="F582" i="1"/>
  <c r="U581" i="1"/>
  <c r="T581" i="1"/>
  <c r="G581" i="1"/>
  <c r="F581" i="1"/>
  <c r="U580" i="1"/>
  <c r="T580" i="1"/>
  <c r="G580" i="1"/>
  <c r="F580" i="1"/>
  <c r="U579" i="1"/>
  <c r="T579" i="1"/>
  <c r="G579" i="1"/>
  <c r="F579" i="1"/>
  <c r="U578" i="1"/>
  <c r="T578" i="1"/>
  <c r="G578" i="1"/>
  <c r="F578" i="1"/>
  <c r="U577" i="1"/>
  <c r="T577" i="1"/>
  <c r="G577" i="1"/>
  <c r="F577" i="1"/>
  <c r="U576" i="1"/>
  <c r="T576" i="1"/>
  <c r="G576" i="1"/>
  <c r="F576" i="1"/>
  <c r="U575" i="1"/>
  <c r="T575" i="1"/>
  <c r="G575" i="1"/>
  <c r="F575" i="1"/>
  <c r="U574" i="1"/>
  <c r="T574" i="1"/>
  <c r="G574" i="1"/>
  <c r="F574" i="1"/>
  <c r="U326" i="1"/>
  <c r="T326" i="1"/>
  <c r="G326" i="1"/>
  <c r="F326" i="1"/>
  <c r="U325" i="1"/>
  <c r="T325" i="1"/>
  <c r="G325" i="1"/>
  <c r="F325" i="1"/>
  <c r="U250" i="1"/>
  <c r="T250" i="1"/>
  <c r="G250" i="1"/>
  <c r="F250" i="1"/>
  <c r="U81" i="1"/>
  <c r="T81" i="1"/>
  <c r="G81" i="1"/>
  <c r="F81" i="1"/>
  <c r="U1" i="1" l="1"/>
  <c r="T1" i="1"/>
  <c r="G1" i="1"/>
  <c r="F1" i="1"/>
  <c r="C5" i="16"/>
  <c r="B5" i="16"/>
  <c r="H458" i="18" l="1"/>
  <c r="G458" i="18"/>
  <c r="F458" i="18"/>
  <c r="E458" i="18"/>
  <c r="C458" i="18"/>
  <c r="B458" i="18"/>
  <c r="H457" i="18"/>
  <c r="G457" i="18"/>
  <c r="F457" i="18"/>
  <c r="E457" i="18"/>
  <c r="C457" i="18"/>
  <c r="B457" i="18"/>
  <c r="H456" i="18"/>
  <c r="G456" i="18"/>
  <c r="F456" i="18"/>
  <c r="E456" i="18"/>
  <c r="C456" i="18"/>
  <c r="B456" i="18"/>
  <c r="H455" i="18"/>
  <c r="G455" i="18"/>
  <c r="F455" i="18"/>
  <c r="E455" i="18"/>
  <c r="C455" i="18"/>
  <c r="B455" i="18"/>
  <c r="H453" i="18"/>
  <c r="G453" i="18"/>
  <c r="F453" i="18"/>
  <c r="E453" i="18"/>
  <c r="C453" i="18"/>
  <c r="B453" i="18"/>
  <c r="H452" i="18"/>
  <c r="G452" i="18"/>
  <c r="F452" i="18"/>
  <c r="E452" i="18"/>
  <c r="C452" i="18"/>
  <c r="B452" i="18"/>
  <c r="H451" i="18"/>
  <c r="G451" i="18"/>
  <c r="F451" i="18"/>
  <c r="E451" i="18"/>
  <c r="C451" i="18"/>
  <c r="B451" i="18"/>
  <c r="H450" i="18"/>
  <c r="G450" i="18"/>
  <c r="F450" i="18"/>
  <c r="E450" i="18"/>
  <c r="C450" i="18"/>
  <c r="B450" i="18"/>
  <c r="H448" i="18"/>
  <c r="G448" i="18"/>
  <c r="F448" i="18"/>
  <c r="E448" i="18"/>
  <c r="C448" i="18"/>
  <c r="B448" i="18"/>
  <c r="H447" i="18"/>
  <c r="G447" i="18"/>
  <c r="F447" i="18"/>
  <c r="E447" i="18"/>
  <c r="C447" i="18"/>
  <c r="B447" i="18"/>
  <c r="H446" i="18"/>
  <c r="G446" i="18"/>
  <c r="F446" i="18"/>
  <c r="E446" i="18"/>
  <c r="C446" i="18"/>
  <c r="B446" i="18"/>
  <c r="H445" i="18"/>
  <c r="G445" i="18"/>
  <c r="F445" i="18"/>
  <c r="E445" i="18"/>
  <c r="C445" i="18"/>
  <c r="B445" i="18"/>
  <c r="H443" i="18"/>
  <c r="G443" i="18"/>
  <c r="F443" i="18"/>
  <c r="E443" i="18"/>
  <c r="C443" i="18"/>
  <c r="B443" i="18"/>
  <c r="H442" i="18"/>
  <c r="G442" i="18"/>
  <c r="F442" i="18"/>
  <c r="E442" i="18"/>
  <c r="C442" i="18"/>
  <c r="B442" i="18"/>
  <c r="H441" i="18"/>
  <c r="G441" i="18"/>
  <c r="F441" i="18"/>
  <c r="E441" i="18"/>
  <c r="C441" i="18"/>
  <c r="B441" i="18"/>
  <c r="H440" i="18"/>
  <c r="G440" i="18"/>
  <c r="F440" i="18"/>
  <c r="E440" i="18"/>
  <c r="C440" i="18"/>
  <c r="B440" i="18"/>
  <c r="H428" i="18"/>
  <c r="G428" i="18"/>
  <c r="F428" i="18"/>
  <c r="E428" i="18"/>
  <c r="C428" i="18"/>
  <c r="B428" i="18"/>
  <c r="H427" i="18"/>
  <c r="G427" i="18"/>
  <c r="F427" i="18"/>
  <c r="E427" i="18"/>
  <c r="C427" i="18"/>
  <c r="B427" i="18"/>
  <c r="H426" i="18"/>
  <c r="G426" i="18"/>
  <c r="F426" i="18"/>
  <c r="E426" i="18"/>
  <c r="C426" i="18"/>
  <c r="B426" i="18"/>
  <c r="H425" i="18"/>
  <c r="G425" i="18"/>
  <c r="F425" i="18"/>
  <c r="E425" i="18"/>
  <c r="C425" i="18"/>
  <c r="B425" i="18"/>
  <c r="H423" i="18"/>
  <c r="G423" i="18"/>
  <c r="F423" i="18"/>
  <c r="E423" i="18"/>
  <c r="C423" i="18"/>
  <c r="B423" i="18"/>
  <c r="H422" i="18"/>
  <c r="G422" i="18"/>
  <c r="F422" i="18"/>
  <c r="E422" i="18"/>
  <c r="C422" i="18"/>
  <c r="B422" i="18"/>
  <c r="H421" i="18"/>
  <c r="G421" i="18"/>
  <c r="F421" i="18"/>
  <c r="E421" i="18"/>
  <c r="C421" i="18"/>
  <c r="B421" i="18"/>
  <c r="H420" i="18"/>
  <c r="G420" i="18"/>
  <c r="F420" i="18"/>
  <c r="E420" i="18"/>
  <c r="C420" i="18"/>
  <c r="B420" i="18"/>
  <c r="H418" i="18"/>
  <c r="G418" i="18"/>
  <c r="F418" i="18"/>
  <c r="E418" i="18"/>
  <c r="C418" i="18"/>
  <c r="B418" i="18"/>
  <c r="H417" i="18"/>
  <c r="G417" i="18"/>
  <c r="F417" i="18"/>
  <c r="E417" i="18"/>
  <c r="C417" i="18"/>
  <c r="B417" i="18"/>
  <c r="H416" i="18"/>
  <c r="G416" i="18"/>
  <c r="F416" i="18"/>
  <c r="E416" i="18"/>
  <c r="C416" i="18"/>
  <c r="B416" i="18"/>
  <c r="H415" i="18"/>
  <c r="G415" i="18"/>
  <c r="F415" i="18"/>
  <c r="E415" i="18"/>
  <c r="C415" i="18"/>
  <c r="B415" i="18"/>
  <c r="H413" i="18"/>
  <c r="G413" i="18"/>
  <c r="F413" i="18"/>
  <c r="E413" i="18"/>
  <c r="C413" i="18"/>
  <c r="B413" i="18"/>
  <c r="H412" i="18"/>
  <c r="G412" i="18"/>
  <c r="F412" i="18"/>
  <c r="E412" i="18"/>
  <c r="C412" i="18"/>
  <c r="B412" i="18"/>
  <c r="H411" i="18"/>
  <c r="G411" i="18"/>
  <c r="F411" i="18"/>
  <c r="E411" i="18"/>
  <c r="C411" i="18"/>
  <c r="B411" i="18"/>
  <c r="H410" i="18"/>
  <c r="G410" i="18"/>
  <c r="F410" i="18"/>
  <c r="E410" i="18"/>
  <c r="C410" i="18"/>
  <c r="B410" i="18"/>
  <c r="H398" i="18"/>
  <c r="G398" i="18"/>
  <c r="F398" i="18"/>
  <c r="E398" i="18"/>
  <c r="C398" i="18"/>
  <c r="B398" i="18"/>
  <c r="H397" i="18"/>
  <c r="G397" i="18"/>
  <c r="F397" i="18"/>
  <c r="E397" i="18"/>
  <c r="C397" i="18"/>
  <c r="B397" i="18"/>
  <c r="H396" i="18"/>
  <c r="G396" i="18"/>
  <c r="F396" i="18"/>
  <c r="E396" i="18"/>
  <c r="C396" i="18"/>
  <c r="B396" i="18"/>
  <c r="H395" i="18"/>
  <c r="G395" i="18"/>
  <c r="F395" i="18"/>
  <c r="E395" i="18"/>
  <c r="C395" i="18"/>
  <c r="B395" i="18"/>
  <c r="H393" i="18"/>
  <c r="G393" i="18"/>
  <c r="F393" i="18"/>
  <c r="E393" i="18"/>
  <c r="C393" i="18"/>
  <c r="B393" i="18"/>
  <c r="H392" i="18"/>
  <c r="G392" i="18"/>
  <c r="F392" i="18"/>
  <c r="E392" i="18"/>
  <c r="C392" i="18"/>
  <c r="B392" i="18"/>
  <c r="H391" i="18"/>
  <c r="G391" i="18"/>
  <c r="F391" i="18"/>
  <c r="E391" i="18"/>
  <c r="C391" i="18"/>
  <c r="B391" i="18"/>
  <c r="H390" i="18"/>
  <c r="G390" i="18"/>
  <c r="F390" i="18"/>
  <c r="E390" i="18"/>
  <c r="C390" i="18"/>
  <c r="B390" i="18"/>
  <c r="H388" i="18"/>
  <c r="G388" i="18"/>
  <c r="F388" i="18"/>
  <c r="E388" i="18"/>
  <c r="C388" i="18"/>
  <c r="B388" i="18"/>
  <c r="H387" i="18"/>
  <c r="G387" i="18"/>
  <c r="F387" i="18"/>
  <c r="E387" i="18"/>
  <c r="C387" i="18"/>
  <c r="B387" i="18"/>
  <c r="H386" i="18"/>
  <c r="G386" i="18"/>
  <c r="F386" i="18"/>
  <c r="E386" i="18"/>
  <c r="C386" i="18"/>
  <c r="B386" i="18"/>
  <c r="H385" i="18"/>
  <c r="G385" i="18"/>
  <c r="F385" i="18"/>
  <c r="E385" i="18"/>
  <c r="C385" i="18"/>
  <c r="B385" i="18"/>
  <c r="H383" i="18"/>
  <c r="G383" i="18"/>
  <c r="F383" i="18"/>
  <c r="E383" i="18"/>
  <c r="C383" i="18"/>
  <c r="B383" i="18"/>
  <c r="H382" i="18"/>
  <c r="G382" i="18"/>
  <c r="F382" i="18"/>
  <c r="E382" i="18"/>
  <c r="C382" i="18"/>
  <c r="B382" i="18"/>
  <c r="H381" i="18"/>
  <c r="G381" i="18"/>
  <c r="F381" i="18"/>
  <c r="E381" i="18"/>
  <c r="C381" i="18"/>
  <c r="B381" i="18"/>
  <c r="H380" i="18"/>
  <c r="G380" i="18"/>
  <c r="F380" i="18"/>
  <c r="E380" i="18"/>
  <c r="C380" i="18"/>
  <c r="B380" i="18"/>
  <c r="H367" i="18"/>
  <c r="G367" i="18"/>
  <c r="F367" i="18"/>
  <c r="E367" i="18"/>
  <c r="C367" i="18"/>
  <c r="B367" i="18"/>
  <c r="H366" i="18"/>
  <c r="G366" i="18"/>
  <c r="F366" i="18"/>
  <c r="E366" i="18"/>
  <c r="C366" i="18"/>
  <c r="B366" i="18"/>
  <c r="H365" i="18"/>
  <c r="G365" i="18"/>
  <c r="F365" i="18"/>
  <c r="E365" i="18"/>
  <c r="C365" i="18"/>
  <c r="B365" i="18"/>
  <c r="H364" i="18"/>
  <c r="G364" i="18"/>
  <c r="F364" i="18"/>
  <c r="E364" i="18"/>
  <c r="C364" i="18"/>
  <c r="B364" i="18"/>
  <c r="H362" i="18"/>
  <c r="G362" i="18"/>
  <c r="F362" i="18"/>
  <c r="E362" i="18"/>
  <c r="C362" i="18"/>
  <c r="B362" i="18"/>
  <c r="H361" i="18"/>
  <c r="G361" i="18"/>
  <c r="F361" i="18"/>
  <c r="E361" i="18"/>
  <c r="C361" i="18"/>
  <c r="B361" i="18"/>
  <c r="H360" i="18"/>
  <c r="G360" i="18"/>
  <c r="F360" i="18"/>
  <c r="E360" i="18"/>
  <c r="C360" i="18"/>
  <c r="B360" i="18"/>
  <c r="H359" i="18"/>
  <c r="G359" i="18"/>
  <c r="F359" i="18"/>
  <c r="E359" i="18"/>
  <c r="C359" i="18"/>
  <c r="B359" i="18"/>
  <c r="H357" i="18"/>
  <c r="G357" i="18"/>
  <c r="F357" i="18"/>
  <c r="E357" i="18"/>
  <c r="C357" i="18"/>
  <c r="B357" i="18"/>
  <c r="H356" i="18"/>
  <c r="G356" i="18"/>
  <c r="F356" i="18"/>
  <c r="E356" i="18"/>
  <c r="C356" i="18"/>
  <c r="B356" i="18"/>
  <c r="H355" i="18"/>
  <c r="G355" i="18"/>
  <c r="F355" i="18"/>
  <c r="E355" i="18"/>
  <c r="C355" i="18"/>
  <c r="B355" i="18"/>
  <c r="H354" i="18"/>
  <c r="G354" i="18"/>
  <c r="F354" i="18"/>
  <c r="E354" i="18"/>
  <c r="C354" i="18"/>
  <c r="B354" i="18"/>
  <c r="H352" i="18"/>
  <c r="G352" i="18"/>
  <c r="F352" i="18"/>
  <c r="E352" i="18"/>
  <c r="C352" i="18"/>
  <c r="B352" i="18"/>
  <c r="H351" i="18"/>
  <c r="G351" i="18"/>
  <c r="F351" i="18"/>
  <c r="E351" i="18"/>
  <c r="C351" i="18"/>
  <c r="B351" i="18"/>
  <c r="H350" i="18"/>
  <c r="G350" i="18"/>
  <c r="F350" i="18"/>
  <c r="E350" i="18"/>
  <c r="C350" i="18"/>
  <c r="B350" i="18"/>
  <c r="H349" i="18"/>
  <c r="G349" i="18"/>
  <c r="F349" i="18"/>
  <c r="E349" i="18"/>
  <c r="C349" i="18"/>
  <c r="B349" i="18"/>
  <c r="H336" i="18"/>
  <c r="G336" i="18"/>
  <c r="F336" i="18"/>
  <c r="E336" i="18"/>
  <c r="C336" i="18"/>
  <c r="B336" i="18"/>
  <c r="H335" i="18"/>
  <c r="G335" i="18"/>
  <c r="F335" i="18"/>
  <c r="E335" i="18"/>
  <c r="C335" i="18"/>
  <c r="B335" i="18"/>
  <c r="H334" i="18"/>
  <c r="G334" i="18"/>
  <c r="F334" i="18"/>
  <c r="E334" i="18"/>
  <c r="C334" i="18"/>
  <c r="B334" i="18"/>
  <c r="H333" i="18"/>
  <c r="G333" i="18"/>
  <c r="F333" i="18"/>
  <c r="E333" i="18"/>
  <c r="C333" i="18"/>
  <c r="B333" i="18"/>
  <c r="H331" i="18"/>
  <c r="G331" i="18"/>
  <c r="F331" i="18"/>
  <c r="E331" i="18"/>
  <c r="C331" i="18"/>
  <c r="B331" i="18"/>
  <c r="H330" i="18"/>
  <c r="G330" i="18"/>
  <c r="F330" i="18"/>
  <c r="E330" i="18"/>
  <c r="C330" i="18"/>
  <c r="B330" i="18"/>
  <c r="H329" i="18"/>
  <c r="G329" i="18"/>
  <c r="F329" i="18"/>
  <c r="E329" i="18"/>
  <c r="C329" i="18"/>
  <c r="B329" i="18"/>
  <c r="H328" i="18"/>
  <c r="G328" i="18"/>
  <c r="F328" i="18"/>
  <c r="E328" i="18"/>
  <c r="C328" i="18"/>
  <c r="B328" i="18"/>
  <c r="H326" i="18"/>
  <c r="G326" i="18"/>
  <c r="F326" i="18"/>
  <c r="E326" i="18"/>
  <c r="C326" i="18"/>
  <c r="B326" i="18"/>
  <c r="H325" i="18"/>
  <c r="G325" i="18"/>
  <c r="F325" i="18"/>
  <c r="E325" i="18"/>
  <c r="C325" i="18"/>
  <c r="B325" i="18"/>
  <c r="H324" i="18"/>
  <c r="G324" i="18"/>
  <c r="F324" i="18"/>
  <c r="E324" i="18"/>
  <c r="C324" i="18"/>
  <c r="B324" i="18"/>
  <c r="H323" i="18"/>
  <c r="G323" i="18"/>
  <c r="F323" i="18"/>
  <c r="E323" i="18"/>
  <c r="C323" i="18"/>
  <c r="B323" i="18"/>
  <c r="H321" i="18"/>
  <c r="G321" i="18"/>
  <c r="F321" i="18"/>
  <c r="E321" i="18"/>
  <c r="C321" i="18"/>
  <c r="B321" i="18"/>
  <c r="H320" i="18"/>
  <c r="G320" i="18"/>
  <c r="F320" i="18"/>
  <c r="E320" i="18"/>
  <c r="C320" i="18"/>
  <c r="B320" i="18"/>
  <c r="H319" i="18"/>
  <c r="G319" i="18"/>
  <c r="F319" i="18"/>
  <c r="E319" i="18"/>
  <c r="C319" i="18"/>
  <c r="B319" i="18"/>
  <c r="H318" i="18"/>
  <c r="G318" i="18"/>
  <c r="F318" i="18"/>
  <c r="E318" i="18"/>
  <c r="C318" i="18"/>
  <c r="B318" i="18"/>
  <c r="H305" i="18"/>
  <c r="G305" i="18"/>
  <c r="F305" i="18"/>
  <c r="E305" i="18"/>
  <c r="C305" i="18"/>
  <c r="B305" i="18"/>
  <c r="H304" i="18"/>
  <c r="G304" i="18"/>
  <c r="F304" i="18"/>
  <c r="E304" i="18"/>
  <c r="C304" i="18"/>
  <c r="B304" i="18"/>
  <c r="H303" i="18"/>
  <c r="G303" i="18"/>
  <c r="F303" i="18"/>
  <c r="E303" i="18"/>
  <c r="C303" i="18"/>
  <c r="B303" i="18"/>
  <c r="H302" i="18"/>
  <c r="G302" i="18"/>
  <c r="F302" i="18"/>
  <c r="E302" i="18"/>
  <c r="C302" i="18"/>
  <c r="B302" i="18"/>
  <c r="H300" i="18"/>
  <c r="G300" i="18"/>
  <c r="F300" i="18"/>
  <c r="E300" i="18"/>
  <c r="C300" i="18"/>
  <c r="B300" i="18"/>
  <c r="H299" i="18"/>
  <c r="G299" i="18"/>
  <c r="F299" i="18"/>
  <c r="E299" i="18"/>
  <c r="C299" i="18"/>
  <c r="B299" i="18"/>
  <c r="H298" i="18"/>
  <c r="G298" i="18"/>
  <c r="F298" i="18"/>
  <c r="E298" i="18"/>
  <c r="C298" i="18"/>
  <c r="B298" i="18"/>
  <c r="H297" i="18"/>
  <c r="G297" i="18"/>
  <c r="F297" i="18"/>
  <c r="E297" i="18"/>
  <c r="C297" i="18"/>
  <c r="B297" i="18"/>
  <c r="H295" i="18"/>
  <c r="G295" i="18"/>
  <c r="F295" i="18"/>
  <c r="E295" i="18"/>
  <c r="C295" i="18"/>
  <c r="B295" i="18"/>
  <c r="H294" i="18"/>
  <c r="G294" i="18"/>
  <c r="F294" i="18"/>
  <c r="E294" i="18"/>
  <c r="C294" i="18"/>
  <c r="B294" i="18"/>
  <c r="H293" i="18"/>
  <c r="G293" i="18"/>
  <c r="F293" i="18"/>
  <c r="E293" i="18"/>
  <c r="C293" i="18"/>
  <c r="B293" i="18"/>
  <c r="H292" i="18"/>
  <c r="G292" i="18"/>
  <c r="F292" i="18"/>
  <c r="E292" i="18"/>
  <c r="C292" i="18"/>
  <c r="B292" i="18"/>
  <c r="H290" i="18"/>
  <c r="G290" i="18"/>
  <c r="F290" i="18"/>
  <c r="E290" i="18"/>
  <c r="C290" i="18"/>
  <c r="B290" i="18"/>
  <c r="H289" i="18"/>
  <c r="G289" i="18"/>
  <c r="F289" i="18"/>
  <c r="E289" i="18"/>
  <c r="C289" i="18"/>
  <c r="B289" i="18"/>
  <c r="H288" i="18"/>
  <c r="G288" i="18"/>
  <c r="F288" i="18"/>
  <c r="E288" i="18"/>
  <c r="C288" i="18"/>
  <c r="B288" i="18"/>
  <c r="H287" i="18"/>
  <c r="G287" i="18"/>
  <c r="F287" i="18"/>
  <c r="E287" i="18"/>
  <c r="C287" i="18"/>
  <c r="B287" i="18"/>
  <c r="H274" i="18"/>
  <c r="G274" i="18"/>
  <c r="F274" i="18"/>
  <c r="E274" i="18"/>
  <c r="C274" i="18"/>
  <c r="B274" i="18"/>
  <c r="H273" i="18"/>
  <c r="G273" i="18"/>
  <c r="F273" i="18"/>
  <c r="E273" i="18"/>
  <c r="C273" i="18"/>
  <c r="B273" i="18"/>
  <c r="H272" i="18"/>
  <c r="G272" i="18"/>
  <c r="F272" i="18"/>
  <c r="E272" i="18"/>
  <c r="C272" i="18"/>
  <c r="B272" i="18"/>
  <c r="H271" i="18"/>
  <c r="G271" i="18"/>
  <c r="F271" i="18"/>
  <c r="E271" i="18"/>
  <c r="C271" i="18"/>
  <c r="B271" i="18"/>
  <c r="H269" i="18"/>
  <c r="G269" i="18"/>
  <c r="F269" i="18"/>
  <c r="E269" i="18"/>
  <c r="C269" i="18"/>
  <c r="B269" i="18"/>
  <c r="H268" i="18"/>
  <c r="G268" i="18"/>
  <c r="F268" i="18"/>
  <c r="E268" i="18"/>
  <c r="C268" i="18"/>
  <c r="B268" i="18"/>
  <c r="H267" i="18"/>
  <c r="G267" i="18"/>
  <c r="F267" i="18"/>
  <c r="E267" i="18"/>
  <c r="C267" i="18"/>
  <c r="B267" i="18"/>
  <c r="H266" i="18"/>
  <c r="G266" i="18"/>
  <c r="F266" i="18"/>
  <c r="E266" i="18"/>
  <c r="C266" i="18"/>
  <c r="B266" i="18"/>
  <c r="H264" i="18"/>
  <c r="G264" i="18"/>
  <c r="F264" i="18"/>
  <c r="E264" i="18"/>
  <c r="C264" i="18"/>
  <c r="B264" i="18"/>
  <c r="H263" i="18"/>
  <c r="G263" i="18"/>
  <c r="F263" i="18"/>
  <c r="E263" i="18"/>
  <c r="C263" i="18"/>
  <c r="B263" i="18"/>
  <c r="H262" i="18"/>
  <c r="G262" i="18"/>
  <c r="F262" i="18"/>
  <c r="E262" i="18"/>
  <c r="C262" i="18"/>
  <c r="B262" i="18"/>
  <c r="H261" i="18"/>
  <c r="G261" i="18"/>
  <c r="F261" i="18"/>
  <c r="E261" i="18"/>
  <c r="C261" i="18"/>
  <c r="B261" i="18"/>
  <c r="H259" i="18"/>
  <c r="G259" i="18"/>
  <c r="F259" i="18"/>
  <c r="E259" i="18"/>
  <c r="C259" i="18"/>
  <c r="B259" i="18"/>
  <c r="H258" i="18"/>
  <c r="G258" i="18"/>
  <c r="F258" i="18"/>
  <c r="E258" i="18"/>
  <c r="C258" i="18"/>
  <c r="B258" i="18"/>
  <c r="H257" i="18"/>
  <c r="G257" i="18"/>
  <c r="F257" i="18"/>
  <c r="E257" i="18"/>
  <c r="C257" i="18"/>
  <c r="B257" i="18"/>
  <c r="H256" i="18"/>
  <c r="G256" i="18"/>
  <c r="F256" i="18"/>
  <c r="E256" i="18"/>
  <c r="C256" i="18"/>
  <c r="B256" i="18"/>
  <c r="H243" i="18"/>
  <c r="G243" i="18"/>
  <c r="F243" i="18"/>
  <c r="E243" i="18"/>
  <c r="C243" i="18"/>
  <c r="B243" i="18"/>
  <c r="H242" i="18"/>
  <c r="G242" i="18"/>
  <c r="F242" i="18"/>
  <c r="E242" i="18"/>
  <c r="C242" i="18"/>
  <c r="B242" i="18"/>
  <c r="H241" i="18"/>
  <c r="G241" i="18"/>
  <c r="F241" i="18"/>
  <c r="E241" i="18"/>
  <c r="C241" i="18"/>
  <c r="B241" i="18"/>
  <c r="H240" i="18"/>
  <c r="G240" i="18"/>
  <c r="F240" i="18"/>
  <c r="E240" i="18"/>
  <c r="C240" i="18"/>
  <c r="B240" i="18"/>
  <c r="H238" i="18"/>
  <c r="G238" i="18"/>
  <c r="F238" i="18"/>
  <c r="E238" i="18"/>
  <c r="C238" i="18"/>
  <c r="B238" i="18"/>
  <c r="H237" i="18"/>
  <c r="G237" i="18"/>
  <c r="F237" i="18"/>
  <c r="E237" i="18"/>
  <c r="C237" i="18"/>
  <c r="B237" i="18"/>
  <c r="H236" i="18"/>
  <c r="G236" i="18"/>
  <c r="F236" i="18"/>
  <c r="E236" i="18"/>
  <c r="C236" i="18"/>
  <c r="B236" i="18"/>
  <c r="H235" i="18"/>
  <c r="G235" i="18"/>
  <c r="F235" i="18"/>
  <c r="E235" i="18"/>
  <c r="C235" i="18"/>
  <c r="B235" i="18"/>
  <c r="H233" i="18"/>
  <c r="G233" i="18"/>
  <c r="F233" i="18"/>
  <c r="E233" i="18"/>
  <c r="C233" i="18"/>
  <c r="B233" i="18"/>
  <c r="H232" i="18"/>
  <c r="G232" i="18"/>
  <c r="F232" i="18"/>
  <c r="E232" i="18"/>
  <c r="C232" i="18"/>
  <c r="B232" i="18"/>
  <c r="H231" i="18"/>
  <c r="G231" i="18"/>
  <c r="F231" i="18"/>
  <c r="E231" i="18"/>
  <c r="C231" i="18"/>
  <c r="B231" i="18"/>
  <c r="H230" i="18"/>
  <c r="G230" i="18"/>
  <c r="F230" i="18"/>
  <c r="E230" i="18"/>
  <c r="C230" i="18"/>
  <c r="B230" i="18"/>
  <c r="H228" i="18"/>
  <c r="G228" i="18"/>
  <c r="F228" i="18"/>
  <c r="E228" i="18"/>
  <c r="C228" i="18"/>
  <c r="B228" i="18"/>
  <c r="H227" i="18"/>
  <c r="G227" i="18"/>
  <c r="F227" i="18"/>
  <c r="E227" i="18"/>
  <c r="C227" i="18"/>
  <c r="B227" i="18"/>
  <c r="H226" i="18"/>
  <c r="G226" i="18"/>
  <c r="F226" i="18"/>
  <c r="E226" i="18"/>
  <c r="C226" i="18"/>
  <c r="B226" i="18"/>
  <c r="H225" i="18"/>
  <c r="G225" i="18"/>
  <c r="F225" i="18"/>
  <c r="E225" i="18"/>
  <c r="C225" i="18"/>
  <c r="B225" i="18"/>
  <c r="P212" i="18"/>
  <c r="O212" i="18"/>
  <c r="N212" i="18"/>
  <c r="M212" i="18"/>
  <c r="K212" i="18"/>
  <c r="J212" i="18"/>
  <c r="H212" i="18"/>
  <c r="G212" i="18"/>
  <c r="F212" i="18"/>
  <c r="E212" i="18"/>
  <c r="C212" i="18"/>
  <c r="B212" i="18"/>
  <c r="P211" i="18"/>
  <c r="O211" i="18"/>
  <c r="N211" i="18"/>
  <c r="M211" i="18"/>
  <c r="K211" i="18"/>
  <c r="J211" i="18"/>
  <c r="H211" i="18"/>
  <c r="G211" i="18"/>
  <c r="F211" i="18"/>
  <c r="E211" i="18"/>
  <c r="C211" i="18"/>
  <c r="B211" i="18"/>
  <c r="P210" i="18"/>
  <c r="O210" i="18"/>
  <c r="N210" i="18"/>
  <c r="M210" i="18"/>
  <c r="K210" i="18"/>
  <c r="J210" i="18"/>
  <c r="H210" i="18"/>
  <c r="G210" i="18"/>
  <c r="F210" i="18"/>
  <c r="E210" i="18"/>
  <c r="C210" i="18"/>
  <c r="B210" i="18"/>
  <c r="P209" i="18"/>
  <c r="O209" i="18"/>
  <c r="N209" i="18"/>
  <c r="M209" i="18"/>
  <c r="K209" i="18"/>
  <c r="J209" i="18"/>
  <c r="H209" i="18"/>
  <c r="G209" i="18"/>
  <c r="F209" i="18"/>
  <c r="E209" i="18"/>
  <c r="C209" i="18"/>
  <c r="B209" i="18"/>
  <c r="P207" i="18"/>
  <c r="O207" i="18"/>
  <c r="N207" i="18"/>
  <c r="M207" i="18"/>
  <c r="K207" i="18"/>
  <c r="J207" i="18"/>
  <c r="H207" i="18"/>
  <c r="G207" i="18"/>
  <c r="F207" i="18"/>
  <c r="E207" i="18"/>
  <c r="C207" i="18"/>
  <c r="B207" i="18"/>
  <c r="P206" i="18"/>
  <c r="O206" i="18"/>
  <c r="N206" i="18"/>
  <c r="M206" i="18"/>
  <c r="K206" i="18"/>
  <c r="J206" i="18"/>
  <c r="H206" i="18"/>
  <c r="G206" i="18"/>
  <c r="F206" i="18"/>
  <c r="E206" i="18"/>
  <c r="C206" i="18"/>
  <c r="B206" i="18"/>
  <c r="P205" i="18"/>
  <c r="O205" i="18"/>
  <c r="N205" i="18"/>
  <c r="M205" i="18"/>
  <c r="K205" i="18"/>
  <c r="J205" i="18"/>
  <c r="H205" i="18"/>
  <c r="G205" i="18"/>
  <c r="F205" i="18"/>
  <c r="E205" i="18"/>
  <c r="C205" i="18"/>
  <c r="B205" i="18"/>
  <c r="P204" i="18"/>
  <c r="O204" i="18"/>
  <c r="N204" i="18"/>
  <c r="M204" i="18"/>
  <c r="K204" i="18"/>
  <c r="J204" i="18"/>
  <c r="H204" i="18"/>
  <c r="G204" i="18"/>
  <c r="F204" i="18"/>
  <c r="E204" i="18"/>
  <c r="C204" i="18"/>
  <c r="B204" i="18"/>
  <c r="P202" i="18"/>
  <c r="O202" i="18"/>
  <c r="N202" i="18"/>
  <c r="M202" i="18"/>
  <c r="K202" i="18"/>
  <c r="J202" i="18"/>
  <c r="H202" i="18"/>
  <c r="G202" i="18"/>
  <c r="F202" i="18"/>
  <c r="E202" i="18"/>
  <c r="C202" i="18"/>
  <c r="B202" i="18"/>
  <c r="P201" i="18"/>
  <c r="O201" i="18"/>
  <c r="N201" i="18"/>
  <c r="M201" i="18"/>
  <c r="K201" i="18"/>
  <c r="J201" i="18"/>
  <c r="H201" i="18"/>
  <c r="G201" i="18"/>
  <c r="F201" i="18"/>
  <c r="E201" i="18"/>
  <c r="C201" i="18"/>
  <c r="B201" i="18"/>
  <c r="P200" i="18"/>
  <c r="O200" i="18"/>
  <c r="N200" i="18"/>
  <c r="M200" i="18"/>
  <c r="K200" i="18"/>
  <c r="J200" i="18"/>
  <c r="H200" i="18"/>
  <c r="G200" i="18"/>
  <c r="F200" i="18"/>
  <c r="E200" i="18"/>
  <c r="C200" i="18"/>
  <c r="B200" i="18"/>
  <c r="P199" i="18"/>
  <c r="O199" i="18"/>
  <c r="N199" i="18"/>
  <c r="M199" i="18"/>
  <c r="K199" i="18"/>
  <c r="J199" i="18"/>
  <c r="H199" i="18"/>
  <c r="G199" i="18"/>
  <c r="F199" i="18"/>
  <c r="E199" i="18"/>
  <c r="C199" i="18"/>
  <c r="B199" i="18"/>
  <c r="P197" i="18"/>
  <c r="O197" i="18"/>
  <c r="N197" i="18"/>
  <c r="M197" i="18"/>
  <c r="K197" i="18"/>
  <c r="J197" i="18"/>
  <c r="H197" i="18"/>
  <c r="G197" i="18"/>
  <c r="F197" i="18"/>
  <c r="E197" i="18"/>
  <c r="C197" i="18"/>
  <c r="B197" i="18"/>
  <c r="P196" i="18"/>
  <c r="O196" i="18"/>
  <c r="N196" i="18"/>
  <c r="M196" i="18"/>
  <c r="K196" i="18"/>
  <c r="J196" i="18"/>
  <c r="H196" i="18"/>
  <c r="G196" i="18"/>
  <c r="F196" i="18"/>
  <c r="E196" i="18"/>
  <c r="C196" i="18"/>
  <c r="B196" i="18"/>
  <c r="P195" i="18"/>
  <c r="O195" i="18"/>
  <c r="N195" i="18"/>
  <c r="M195" i="18"/>
  <c r="L195" i="18" s="1"/>
  <c r="G95" i="20" s="1"/>
  <c r="K195" i="18"/>
  <c r="J195" i="18"/>
  <c r="H195" i="18"/>
  <c r="G195" i="18"/>
  <c r="F195" i="18"/>
  <c r="E195" i="18"/>
  <c r="C195" i="18"/>
  <c r="B195" i="18"/>
  <c r="P194" i="18"/>
  <c r="O194" i="18"/>
  <c r="N194" i="18"/>
  <c r="M194" i="18"/>
  <c r="K194" i="18"/>
  <c r="J194" i="18"/>
  <c r="H194" i="18"/>
  <c r="G194" i="18"/>
  <c r="F194" i="18"/>
  <c r="E194" i="18"/>
  <c r="C194" i="18"/>
  <c r="B194" i="18"/>
  <c r="P182" i="18"/>
  <c r="O182" i="18"/>
  <c r="N182" i="18"/>
  <c r="M182" i="18"/>
  <c r="K182" i="18"/>
  <c r="J182" i="18"/>
  <c r="H182" i="18"/>
  <c r="G182" i="18"/>
  <c r="F182" i="18"/>
  <c r="E182" i="18"/>
  <c r="C182" i="18"/>
  <c r="B182" i="18"/>
  <c r="P181" i="18"/>
  <c r="O181" i="18"/>
  <c r="N181" i="18"/>
  <c r="M181" i="18"/>
  <c r="K181" i="18"/>
  <c r="J181" i="18"/>
  <c r="H181" i="18"/>
  <c r="G181" i="18"/>
  <c r="F181" i="18"/>
  <c r="E181" i="18"/>
  <c r="C181" i="18"/>
  <c r="B181" i="18"/>
  <c r="P180" i="18"/>
  <c r="O180" i="18"/>
  <c r="N180" i="18"/>
  <c r="M180" i="18"/>
  <c r="K180" i="18"/>
  <c r="J180" i="18"/>
  <c r="H180" i="18"/>
  <c r="G180" i="18"/>
  <c r="F180" i="18"/>
  <c r="E180" i="18"/>
  <c r="C180" i="18"/>
  <c r="B180" i="18"/>
  <c r="P179" i="18"/>
  <c r="O179" i="18"/>
  <c r="N179" i="18"/>
  <c r="M179" i="18"/>
  <c r="K179" i="18"/>
  <c r="J179" i="18"/>
  <c r="H179" i="18"/>
  <c r="G179" i="18"/>
  <c r="F179" i="18"/>
  <c r="E179" i="18"/>
  <c r="C179" i="18"/>
  <c r="B179" i="18"/>
  <c r="P177" i="18"/>
  <c r="O177" i="18"/>
  <c r="N177" i="18"/>
  <c r="M177" i="18"/>
  <c r="K177" i="18"/>
  <c r="J177" i="18"/>
  <c r="H177" i="18"/>
  <c r="G177" i="18"/>
  <c r="F177" i="18"/>
  <c r="E177" i="18"/>
  <c r="C177" i="18"/>
  <c r="B177" i="18"/>
  <c r="P176" i="18"/>
  <c r="O176" i="18"/>
  <c r="N176" i="18"/>
  <c r="M176" i="18"/>
  <c r="K176" i="18"/>
  <c r="J176" i="18"/>
  <c r="H176" i="18"/>
  <c r="G176" i="18"/>
  <c r="F176" i="18"/>
  <c r="E176" i="18"/>
  <c r="C176" i="18"/>
  <c r="B176" i="18"/>
  <c r="P175" i="18"/>
  <c r="O175" i="18"/>
  <c r="N175" i="18"/>
  <c r="M175" i="18"/>
  <c r="K175" i="18"/>
  <c r="J175" i="18"/>
  <c r="H175" i="18"/>
  <c r="G175" i="18"/>
  <c r="F175" i="18"/>
  <c r="E175" i="18"/>
  <c r="C175" i="18"/>
  <c r="B175" i="18"/>
  <c r="P174" i="18"/>
  <c r="O174" i="18"/>
  <c r="N174" i="18"/>
  <c r="M174" i="18"/>
  <c r="K174" i="18"/>
  <c r="J174" i="18"/>
  <c r="H174" i="18"/>
  <c r="G174" i="18"/>
  <c r="F174" i="18"/>
  <c r="E174" i="18"/>
  <c r="C174" i="18"/>
  <c r="B174" i="18"/>
  <c r="P172" i="18"/>
  <c r="O172" i="18"/>
  <c r="N172" i="18"/>
  <c r="M172" i="18"/>
  <c r="K172" i="18"/>
  <c r="J172" i="18"/>
  <c r="H172" i="18"/>
  <c r="G172" i="18"/>
  <c r="F172" i="18"/>
  <c r="E172" i="18"/>
  <c r="C172" i="18"/>
  <c r="B172" i="18"/>
  <c r="P171" i="18"/>
  <c r="O171" i="18"/>
  <c r="N171" i="18"/>
  <c r="M171" i="18"/>
  <c r="K171" i="18"/>
  <c r="J171" i="18"/>
  <c r="H171" i="18"/>
  <c r="G171" i="18"/>
  <c r="F171" i="18"/>
  <c r="E171" i="18"/>
  <c r="C171" i="18"/>
  <c r="B171" i="18"/>
  <c r="P170" i="18"/>
  <c r="O170" i="18"/>
  <c r="N170" i="18"/>
  <c r="M170" i="18"/>
  <c r="K170" i="18"/>
  <c r="J170" i="18"/>
  <c r="H170" i="18"/>
  <c r="G170" i="18"/>
  <c r="F170" i="18"/>
  <c r="E170" i="18"/>
  <c r="C170" i="18"/>
  <c r="B170" i="18"/>
  <c r="P169" i="18"/>
  <c r="O169" i="18"/>
  <c r="N169" i="18"/>
  <c r="M169" i="18"/>
  <c r="K169" i="18"/>
  <c r="J169" i="18"/>
  <c r="H169" i="18"/>
  <c r="G169" i="18"/>
  <c r="F169" i="18"/>
  <c r="E169" i="18"/>
  <c r="C169" i="18"/>
  <c r="B169" i="18"/>
  <c r="P167" i="18"/>
  <c r="O167" i="18"/>
  <c r="N167" i="18"/>
  <c r="M167" i="18"/>
  <c r="K167" i="18"/>
  <c r="J167" i="18"/>
  <c r="H167" i="18"/>
  <c r="G167" i="18"/>
  <c r="F167" i="18"/>
  <c r="E167" i="18"/>
  <c r="C167" i="18"/>
  <c r="B167" i="18"/>
  <c r="P166" i="18"/>
  <c r="O166" i="18"/>
  <c r="N166" i="18"/>
  <c r="M166" i="18"/>
  <c r="K166" i="18"/>
  <c r="J166" i="18"/>
  <c r="H166" i="18"/>
  <c r="G166" i="18"/>
  <c r="F166" i="18"/>
  <c r="E166" i="18"/>
  <c r="C166" i="18"/>
  <c r="B166" i="18"/>
  <c r="P165" i="18"/>
  <c r="O165" i="18"/>
  <c r="N165" i="18"/>
  <c r="M165" i="18"/>
  <c r="K165" i="18"/>
  <c r="J165" i="18"/>
  <c r="H165" i="18"/>
  <c r="G165" i="18"/>
  <c r="F165" i="18"/>
  <c r="E165" i="18"/>
  <c r="C165" i="18"/>
  <c r="B165" i="18"/>
  <c r="P164" i="18"/>
  <c r="O164" i="18"/>
  <c r="N164" i="18"/>
  <c r="M164" i="18"/>
  <c r="K164" i="18"/>
  <c r="J164" i="18"/>
  <c r="H164" i="18"/>
  <c r="G164" i="18"/>
  <c r="F164" i="18"/>
  <c r="E164" i="18"/>
  <c r="C164" i="18"/>
  <c r="B164" i="18"/>
  <c r="P151" i="18"/>
  <c r="O151" i="18"/>
  <c r="N151" i="18"/>
  <c r="M151" i="18"/>
  <c r="K151" i="18"/>
  <c r="J151" i="18"/>
  <c r="H151" i="18"/>
  <c r="G151" i="18"/>
  <c r="F151" i="18"/>
  <c r="E151" i="18"/>
  <c r="C151" i="18"/>
  <c r="B151" i="18"/>
  <c r="P150" i="18"/>
  <c r="O150" i="18"/>
  <c r="N150" i="18"/>
  <c r="M150" i="18"/>
  <c r="K150" i="18"/>
  <c r="J150" i="18"/>
  <c r="H150" i="18"/>
  <c r="G150" i="18"/>
  <c r="F150" i="18"/>
  <c r="E150" i="18"/>
  <c r="C150" i="18"/>
  <c r="B150" i="18"/>
  <c r="P149" i="18"/>
  <c r="O149" i="18"/>
  <c r="N149" i="18"/>
  <c r="M149" i="18"/>
  <c r="K149" i="18"/>
  <c r="J149" i="18"/>
  <c r="H149" i="18"/>
  <c r="G149" i="18"/>
  <c r="F149" i="18"/>
  <c r="E149" i="18"/>
  <c r="C149" i="18"/>
  <c r="B149" i="18"/>
  <c r="P148" i="18"/>
  <c r="O148" i="18"/>
  <c r="N148" i="18"/>
  <c r="M148" i="18"/>
  <c r="K148" i="18"/>
  <c r="J148" i="18"/>
  <c r="H148" i="18"/>
  <c r="G148" i="18"/>
  <c r="F148" i="18"/>
  <c r="E148" i="18"/>
  <c r="C148" i="18"/>
  <c r="B148" i="18"/>
  <c r="P146" i="18"/>
  <c r="O146" i="18"/>
  <c r="N146" i="18"/>
  <c r="M146" i="18"/>
  <c r="K146" i="18"/>
  <c r="J146" i="18"/>
  <c r="H146" i="18"/>
  <c r="G146" i="18"/>
  <c r="F146" i="18"/>
  <c r="E146" i="18"/>
  <c r="C146" i="18"/>
  <c r="B146" i="18"/>
  <c r="P145" i="18"/>
  <c r="O145" i="18"/>
  <c r="N145" i="18"/>
  <c r="M145" i="18"/>
  <c r="K145" i="18"/>
  <c r="J145" i="18"/>
  <c r="H145" i="18"/>
  <c r="G145" i="18"/>
  <c r="F145" i="18"/>
  <c r="E145" i="18"/>
  <c r="C145" i="18"/>
  <c r="B145" i="18"/>
  <c r="P144" i="18"/>
  <c r="O144" i="18"/>
  <c r="N144" i="18"/>
  <c r="M144" i="18"/>
  <c r="K144" i="18"/>
  <c r="J144" i="18"/>
  <c r="H144" i="18"/>
  <c r="G144" i="18"/>
  <c r="F144" i="18"/>
  <c r="E144" i="18"/>
  <c r="C144" i="18"/>
  <c r="B144" i="18"/>
  <c r="P143" i="18"/>
  <c r="O143" i="18"/>
  <c r="N143" i="18"/>
  <c r="M143" i="18"/>
  <c r="K143" i="18"/>
  <c r="J143" i="18"/>
  <c r="H143" i="18"/>
  <c r="G143" i="18"/>
  <c r="F143" i="18"/>
  <c r="E143" i="18"/>
  <c r="C143" i="18"/>
  <c r="B143" i="18"/>
  <c r="P141" i="18"/>
  <c r="O141" i="18"/>
  <c r="N141" i="18"/>
  <c r="M141" i="18"/>
  <c r="K141" i="18"/>
  <c r="J141" i="18"/>
  <c r="H141" i="18"/>
  <c r="G141" i="18"/>
  <c r="F141" i="18"/>
  <c r="E141" i="18"/>
  <c r="C141" i="18"/>
  <c r="B141" i="18"/>
  <c r="P140" i="18"/>
  <c r="O140" i="18"/>
  <c r="N140" i="18"/>
  <c r="M140" i="18"/>
  <c r="K140" i="18"/>
  <c r="J140" i="18"/>
  <c r="H140" i="18"/>
  <c r="G140" i="18"/>
  <c r="F140" i="18"/>
  <c r="E140" i="18"/>
  <c r="C140" i="18"/>
  <c r="B140" i="18"/>
  <c r="P139" i="18"/>
  <c r="O139" i="18"/>
  <c r="N139" i="18"/>
  <c r="M139" i="18"/>
  <c r="K139" i="18"/>
  <c r="J139" i="18"/>
  <c r="H139" i="18"/>
  <c r="G139" i="18"/>
  <c r="F139" i="18"/>
  <c r="E139" i="18"/>
  <c r="C139" i="18"/>
  <c r="B139" i="18"/>
  <c r="P138" i="18"/>
  <c r="O138" i="18"/>
  <c r="N138" i="18"/>
  <c r="M138" i="18"/>
  <c r="K138" i="18"/>
  <c r="J138" i="18"/>
  <c r="H138" i="18"/>
  <c r="G138" i="18"/>
  <c r="F138" i="18"/>
  <c r="E138" i="18"/>
  <c r="C138" i="18"/>
  <c r="B138" i="18"/>
  <c r="P136" i="18"/>
  <c r="O136" i="18"/>
  <c r="N136" i="18"/>
  <c r="M136" i="18"/>
  <c r="K136" i="18"/>
  <c r="J136" i="18"/>
  <c r="H136" i="18"/>
  <c r="G136" i="18"/>
  <c r="F136" i="18"/>
  <c r="E136" i="18"/>
  <c r="C136" i="18"/>
  <c r="B136" i="18"/>
  <c r="P135" i="18"/>
  <c r="O135" i="18"/>
  <c r="N135" i="18"/>
  <c r="M135" i="18"/>
  <c r="K135" i="18"/>
  <c r="J135" i="18"/>
  <c r="H135" i="18"/>
  <c r="G135" i="18"/>
  <c r="F135" i="18"/>
  <c r="E135" i="18"/>
  <c r="C135" i="18"/>
  <c r="B135" i="18"/>
  <c r="P134" i="18"/>
  <c r="O134" i="18"/>
  <c r="N134" i="18"/>
  <c r="M134" i="18"/>
  <c r="K134" i="18"/>
  <c r="J134" i="18"/>
  <c r="H134" i="18"/>
  <c r="G134" i="18"/>
  <c r="F134" i="18"/>
  <c r="E134" i="18"/>
  <c r="C134" i="18"/>
  <c r="B134" i="18"/>
  <c r="P133" i="18"/>
  <c r="O133" i="18"/>
  <c r="N133" i="18"/>
  <c r="M133" i="18"/>
  <c r="K133" i="18"/>
  <c r="J133" i="18"/>
  <c r="H133" i="18"/>
  <c r="G133" i="18"/>
  <c r="F133" i="18"/>
  <c r="E133" i="18"/>
  <c r="C133" i="18"/>
  <c r="B133" i="18"/>
  <c r="P120" i="18"/>
  <c r="O120" i="18"/>
  <c r="N120" i="18"/>
  <c r="M120" i="18"/>
  <c r="K120" i="18"/>
  <c r="J120" i="18"/>
  <c r="H120" i="18"/>
  <c r="G120" i="18"/>
  <c r="F120" i="18"/>
  <c r="E120" i="18"/>
  <c r="C120" i="18"/>
  <c r="B120" i="18"/>
  <c r="P119" i="18"/>
  <c r="O119" i="18"/>
  <c r="N119" i="18"/>
  <c r="M119" i="18"/>
  <c r="K119" i="18"/>
  <c r="J119" i="18"/>
  <c r="H119" i="18"/>
  <c r="G119" i="18"/>
  <c r="F119" i="18"/>
  <c r="E119" i="18"/>
  <c r="C119" i="18"/>
  <c r="B119" i="18"/>
  <c r="P118" i="18"/>
  <c r="O118" i="18"/>
  <c r="N118" i="18"/>
  <c r="M118" i="18"/>
  <c r="K118" i="18"/>
  <c r="J118" i="18"/>
  <c r="H118" i="18"/>
  <c r="G118" i="18"/>
  <c r="F118" i="18"/>
  <c r="E118" i="18"/>
  <c r="C118" i="18"/>
  <c r="B118" i="18"/>
  <c r="P117" i="18"/>
  <c r="O117" i="18"/>
  <c r="N117" i="18"/>
  <c r="M117" i="18"/>
  <c r="K117" i="18"/>
  <c r="J117" i="18"/>
  <c r="H117" i="18"/>
  <c r="G117" i="18"/>
  <c r="F117" i="18"/>
  <c r="E117" i="18"/>
  <c r="C117" i="18"/>
  <c r="B117" i="18"/>
  <c r="P115" i="18"/>
  <c r="O115" i="18"/>
  <c r="N115" i="18"/>
  <c r="M115" i="18"/>
  <c r="K115" i="18"/>
  <c r="J115" i="18"/>
  <c r="H115" i="18"/>
  <c r="G115" i="18"/>
  <c r="F115" i="18"/>
  <c r="E115" i="18"/>
  <c r="C115" i="18"/>
  <c r="B115" i="18"/>
  <c r="P114" i="18"/>
  <c r="O114" i="18"/>
  <c r="N114" i="18"/>
  <c r="M114" i="18"/>
  <c r="K114" i="18"/>
  <c r="J114" i="18"/>
  <c r="H114" i="18"/>
  <c r="G114" i="18"/>
  <c r="F114" i="18"/>
  <c r="E114" i="18"/>
  <c r="C114" i="18"/>
  <c r="B114" i="18"/>
  <c r="P113" i="18"/>
  <c r="O113" i="18"/>
  <c r="N113" i="18"/>
  <c r="M113" i="18"/>
  <c r="L113" i="18" s="1"/>
  <c r="D105" i="20" s="1"/>
  <c r="K113" i="18"/>
  <c r="J113" i="18"/>
  <c r="H113" i="18"/>
  <c r="G113" i="18"/>
  <c r="F113" i="18"/>
  <c r="E113" i="18"/>
  <c r="C113" i="18"/>
  <c r="B113" i="18"/>
  <c r="P112" i="18"/>
  <c r="O112" i="18"/>
  <c r="N112" i="18"/>
  <c r="M112" i="18"/>
  <c r="K112" i="18"/>
  <c r="J112" i="18"/>
  <c r="H112" i="18"/>
  <c r="G112" i="18"/>
  <c r="F112" i="18"/>
  <c r="E112" i="18"/>
  <c r="C112" i="18"/>
  <c r="B112" i="18"/>
  <c r="P110" i="18"/>
  <c r="O110" i="18"/>
  <c r="N110" i="18"/>
  <c r="M110" i="18"/>
  <c r="K110" i="18"/>
  <c r="J110" i="18"/>
  <c r="H110" i="18"/>
  <c r="G110" i="18"/>
  <c r="F110" i="18"/>
  <c r="E110" i="18"/>
  <c r="C110" i="18"/>
  <c r="B110" i="18"/>
  <c r="P109" i="18"/>
  <c r="O109" i="18"/>
  <c r="N109" i="18"/>
  <c r="M109" i="18"/>
  <c r="K109" i="18"/>
  <c r="J109" i="18"/>
  <c r="H109" i="18"/>
  <c r="G109" i="18"/>
  <c r="F109" i="18"/>
  <c r="E109" i="18"/>
  <c r="C109" i="18"/>
  <c r="B109" i="18"/>
  <c r="P108" i="18"/>
  <c r="O108" i="18"/>
  <c r="N108" i="18"/>
  <c r="M108" i="18"/>
  <c r="K108" i="18"/>
  <c r="J108" i="18"/>
  <c r="H108" i="18"/>
  <c r="G108" i="18"/>
  <c r="F108" i="18"/>
  <c r="E108" i="18"/>
  <c r="C108" i="18"/>
  <c r="B108" i="18"/>
  <c r="P107" i="18"/>
  <c r="O107" i="18"/>
  <c r="N107" i="18"/>
  <c r="M107" i="18"/>
  <c r="K107" i="18"/>
  <c r="J107" i="18"/>
  <c r="H107" i="18"/>
  <c r="G107" i="18"/>
  <c r="F107" i="18"/>
  <c r="E107" i="18"/>
  <c r="C107" i="18"/>
  <c r="B107" i="18"/>
  <c r="P105" i="18"/>
  <c r="O105" i="18"/>
  <c r="N105" i="18"/>
  <c r="M105" i="18"/>
  <c r="K105" i="18"/>
  <c r="J105" i="18"/>
  <c r="H105" i="18"/>
  <c r="G105" i="18"/>
  <c r="F105" i="18"/>
  <c r="E105" i="18"/>
  <c r="C105" i="18"/>
  <c r="B105" i="18"/>
  <c r="P104" i="18"/>
  <c r="O104" i="18"/>
  <c r="N104" i="18"/>
  <c r="M104" i="18"/>
  <c r="K104" i="18"/>
  <c r="J104" i="18"/>
  <c r="H104" i="18"/>
  <c r="G104" i="18"/>
  <c r="F104" i="18"/>
  <c r="E104" i="18"/>
  <c r="C104" i="18"/>
  <c r="B104" i="18"/>
  <c r="P103" i="18"/>
  <c r="O103" i="18"/>
  <c r="N103" i="18"/>
  <c r="M103" i="18"/>
  <c r="K103" i="18"/>
  <c r="J103" i="18"/>
  <c r="H103" i="18"/>
  <c r="G103" i="18"/>
  <c r="F103" i="18"/>
  <c r="E103" i="18"/>
  <c r="C103" i="18"/>
  <c r="B103" i="18"/>
  <c r="P102" i="18"/>
  <c r="O102" i="18"/>
  <c r="N102" i="18"/>
  <c r="M102" i="18"/>
  <c r="K102" i="18"/>
  <c r="J102" i="18"/>
  <c r="H102" i="18"/>
  <c r="G102" i="18"/>
  <c r="F102" i="18"/>
  <c r="E102" i="18"/>
  <c r="C102" i="18"/>
  <c r="B102" i="18"/>
  <c r="P90" i="18"/>
  <c r="O90" i="18"/>
  <c r="N90" i="18"/>
  <c r="M90" i="18"/>
  <c r="K90" i="18"/>
  <c r="J90" i="18"/>
  <c r="H90" i="18"/>
  <c r="G90" i="18"/>
  <c r="F90" i="18"/>
  <c r="E90" i="18"/>
  <c r="C90" i="18"/>
  <c r="B90" i="18"/>
  <c r="P89" i="18"/>
  <c r="O89" i="18"/>
  <c r="N89" i="18"/>
  <c r="M89" i="18"/>
  <c r="K89" i="18"/>
  <c r="J89" i="18"/>
  <c r="H89" i="18"/>
  <c r="G89" i="18"/>
  <c r="F89" i="18"/>
  <c r="E89" i="18"/>
  <c r="C89" i="18"/>
  <c r="B89" i="18"/>
  <c r="P88" i="18"/>
  <c r="O88" i="18"/>
  <c r="N88" i="18"/>
  <c r="M88" i="18"/>
  <c r="K88" i="18"/>
  <c r="J88" i="18"/>
  <c r="H88" i="18"/>
  <c r="G88" i="18"/>
  <c r="F88" i="18"/>
  <c r="E88" i="18"/>
  <c r="C88" i="18"/>
  <c r="B88" i="18"/>
  <c r="P87" i="18"/>
  <c r="O87" i="18"/>
  <c r="N87" i="18"/>
  <c r="M87" i="18"/>
  <c r="K87" i="18"/>
  <c r="J87" i="18"/>
  <c r="H87" i="18"/>
  <c r="G87" i="18"/>
  <c r="F87" i="18"/>
  <c r="E87" i="18"/>
  <c r="C87" i="18"/>
  <c r="B87" i="18"/>
  <c r="P85" i="18"/>
  <c r="O85" i="18"/>
  <c r="N85" i="18"/>
  <c r="M85" i="18"/>
  <c r="K85" i="18"/>
  <c r="J85" i="18"/>
  <c r="H85" i="18"/>
  <c r="G85" i="18"/>
  <c r="F85" i="18"/>
  <c r="E85" i="18"/>
  <c r="C85" i="18"/>
  <c r="B85" i="18"/>
  <c r="P84" i="18"/>
  <c r="O84" i="18"/>
  <c r="N84" i="18"/>
  <c r="M84" i="18"/>
  <c r="K84" i="18"/>
  <c r="J84" i="18"/>
  <c r="H84" i="18"/>
  <c r="G84" i="18"/>
  <c r="F84" i="18"/>
  <c r="E84" i="18"/>
  <c r="C84" i="18"/>
  <c r="B84" i="18"/>
  <c r="P83" i="18"/>
  <c r="O83" i="18"/>
  <c r="N83" i="18"/>
  <c r="M83" i="18"/>
  <c r="K83" i="18"/>
  <c r="J83" i="18"/>
  <c r="H83" i="18"/>
  <c r="G83" i="18"/>
  <c r="F83" i="18"/>
  <c r="E83" i="18"/>
  <c r="C83" i="18"/>
  <c r="B83" i="18"/>
  <c r="P82" i="18"/>
  <c r="O82" i="18"/>
  <c r="N82" i="18"/>
  <c r="M82" i="18"/>
  <c r="K82" i="18"/>
  <c r="J82" i="18"/>
  <c r="H82" i="18"/>
  <c r="G82" i="18"/>
  <c r="F82" i="18"/>
  <c r="E82" i="18"/>
  <c r="C82" i="18"/>
  <c r="B82" i="18"/>
  <c r="P80" i="18"/>
  <c r="O80" i="18"/>
  <c r="N80" i="18"/>
  <c r="M80" i="18"/>
  <c r="K80" i="18"/>
  <c r="J80" i="18"/>
  <c r="H80" i="18"/>
  <c r="G80" i="18"/>
  <c r="F80" i="18"/>
  <c r="E80" i="18"/>
  <c r="C80" i="18"/>
  <c r="B80" i="18"/>
  <c r="P79" i="18"/>
  <c r="O79" i="18"/>
  <c r="N79" i="18"/>
  <c r="M79" i="18"/>
  <c r="K79" i="18"/>
  <c r="J79" i="18"/>
  <c r="H79" i="18"/>
  <c r="G79" i="18"/>
  <c r="F79" i="18"/>
  <c r="E79" i="18"/>
  <c r="C79" i="18"/>
  <c r="B79" i="18"/>
  <c r="P78" i="18"/>
  <c r="O78" i="18"/>
  <c r="N78" i="18"/>
  <c r="M78" i="18"/>
  <c r="K78" i="18"/>
  <c r="J78" i="18"/>
  <c r="H78" i="18"/>
  <c r="G78" i="18"/>
  <c r="F78" i="18"/>
  <c r="E78" i="18"/>
  <c r="C78" i="18"/>
  <c r="B78" i="18"/>
  <c r="P77" i="18"/>
  <c r="O77" i="18"/>
  <c r="N77" i="18"/>
  <c r="M77" i="18"/>
  <c r="K77" i="18"/>
  <c r="J77" i="18"/>
  <c r="H77" i="18"/>
  <c r="G77" i="18"/>
  <c r="F77" i="18"/>
  <c r="E77" i="18"/>
  <c r="C77" i="18"/>
  <c r="B77" i="18"/>
  <c r="P75" i="18"/>
  <c r="O75" i="18"/>
  <c r="N75" i="18"/>
  <c r="M75" i="18"/>
  <c r="K75" i="18"/>
  <c r="J75" i="18"/>
  <c r="H75" i="18"/>
  <c r="G75" i="18"/>
  <c r="F75" i="18"/>
  <c r="E75" i="18"/>
  <c r="C75" i="18"/>
  <c r="B75" i="18"/>
  <c r="P74" i="18"/>
  <c r="O74" i="18"/>
  <c r="N74" i="18"/>
  <c r="M74" i="18"/>
  <c r="K74" i="18"/>
  <c r="J74" i="18"/>
  <c r="H74" i="18"/>
  <c r="G74" i="18"/>
  <c r="F74" i="18"/>
  <c r="E74" i="18"/>
  <c r="C74" i="18"/>
  <c r="B74" i="18"/>
  <c r="P73" i="18"/>
  <c r="O73" i="18"/>
  <c r="N73" i="18"/>
  <c r="M73" i="18"/>
  <c r="K73" i="18"/>
  <c r="J73" i="18"/>
  <c r="H73" i="18"/>
  <c r="G73" i="18"/>
  <c r="F73" i="18"/>
  <c r="E73" i="18"/>
  <c r="C73" i="18"/>
  <c r="B73" i="18"/>
  <c r="P72" i="18"/>
  <c r="O72" i="18"/>
  <c r="N72" i="18"/>
  <c r="M72" i="18"/>
  <c r="K72" i="18"/>
  <c r="J72" i="18"/>
  <c r="H72" i="18"/>
  <c r="G72" i="18"/>
  <c r="F72" i="18"/>
  <c r="E72" i="18"/>
  <c r="C72" i="18"/>
  <c r="B72" i="18"/>
  <c r="P59" i="18"/>
  <c r="O59" i="18"/>
  <c r="N59" i="18"/>
  <c r="M59" i="18"/>
  <c r="K59" i="18"/>
  <c r="J59" i="18"/>
  <c r="H59" i="18"/>
  <c r="G59" i="18"/>
  <c r="F59" i="18"/>
  <c r="E59" i="18"/>
  <c r="C59" i="18"/>
  <c r="B59" i="18"/>
  <c r="P58" i="18"/>
  <c r="O58" i="18"/>
  <c r="N58" i="18"/>
  <c r="M58" i="18"/>
  <c r="K58" i="18"/>
  <c r="J58" i="18"/>
  <c r="H58" i="18"/>
  <c r="G58" i="18"/>
  <c r="F58" i="18"/>
  <c r="E58" i="18"/>
  <c r="C58" i="18"/>
  <c r="B58" i="18"/>
  <c r="P57" i="18"/>
  <c r="O57" i="18"/>
  <c r="N57" i="18"/>
  <c r="M57" i="18"/>
  <c r="K57" i="18"/>
  <c r="J57" i="18"/>
  <c r="H57" i="18"/>
  <c r="G57" i="18"/>
  <c r="F57" i="18"/>
  <c r="E57" i="18"/>
  <c r="C57" i="18"/>
  <c r="B57" i="18"/>
  <c r="P56" i="18"/>
  <c r="O56" i="18"/>
  <c r="N56" i="18"/>
  <c r="M56" i="18"/>
  <c r="K56" i="18"/>
  <c r="J56" i="18"/>
  <c r="H56" i="18"/>
  <c r="G56" i="18"/>
  <c r="F56" i="18"/>
  <c r="E56" i="18"/>
  <c r="C56" i="18"/>
  <c r="B56" i="18"/>
  <c r="P54" i="18"/>
  <c r="O54" i="18"/>
  <c r="N54" i="18"/>
  <c r="M54" i="18"/>
  <c r="K54" i="18"/>
  <c r="J54" i="18"/>
  <c r="H54" i="18"/>
  <c r="G54" i="18"/>
  <c r="F54" i="18"/>
  <c r="E54" i="18"/>
  <c r="C54" i="18"/>
  <c r="B54" i="18"/>
  <c r="P53" i="18"/>
  <c r="O53" i="18"/>
  <c r="N53" i="18"/>
  <c r="M53" i="18"/>
  <c r="K53" i="18"/>
  <c r="J53" i="18"/>
  <c r="H53" i="18"/>
  <c r="G53" i="18"/>
  <c r="F53" i="18"/>
  <c r="E53" i="18"/>
  <c r="C53" i="18"/>
  <c r="B53" i="18"/>
  <c r="P52" i="18"/>
  <c r="O52" i="18"/>
  <c r="N52" i="18"/>
  <c r="M52" i="18"/>
  <c r="K52" i="18"/>
  <c r="J52" i="18"/>
  <c r="H52" i="18"/>
  <c r="G52" i="18"/>
  <c r="F52" i="18"/>
  <c r="E52" i="18"/>
  <c r="C52" i="18"/>
  <c r="B52" i="18"/>
  <c r="P51" i="18"/>
  <c r="O51" i="18"/>
  <c r="N51" i="18"/>
  <c r="M51" i="18"/>
  <c r="K51" i="18"/>
  <c r="J51" i="18"/>
  <c r="H51" i="18"/>
  <c r="G51" i="18"/>
  <c r="F51" i="18"/>
  <c r="E51" i="18"/>
  <c r="C51" i="18"/>
  <c r="B51" i="18"/>
  <c r="P49" i="18"/>
  <c r="O49" i="18"/>
  <c r="N49" i="18"/>
  <c r="M49" i="18"/>
  <c r="K49" i="18"/>
  <c r="J49" i="18"/>
  <c r="H49" i="18"/>
  <c r="G49" i="18"/>
  <c r="F49" i="18"/>
  <c r="E49" i="18"/>
  <c r="C49" i="18"/>
  <c r="B49" i="18"/>
  <c r="P48" i="18"/>
  <c r="O48" i="18"/>
  <c r="N48" i="18"/>
  <c r="M48" i="18"/>
  <c r="K48" i="18"/>
  <c r="J48" i="18"/>
  <c r="H48" i="18"/>
  <c r="G48" i="18"/>
  <c r="F48" i="18"/>
  <c r="E48" i="18"/>
  <c r="C48" i="18"/>
  <c r="B48" i="18"/>
  <c r="P47" i="18"/>
  <c r="O47" i="18"/>
  <c r="N47" i="18"/>
  <c r="M47" i="18"/>
  <c r="K47" i="18"/>
  <c r="J47" i="18"/>
  <c r="H47" i="18"/>
  <c r="G47" i="18"/>
  <c r="F47" i="18"/>
  <c r="E47" i="18"/>
  <c r="C47" i="18"/>
  <c r="B47" i="18"/>
  <c r="P46" i="18"/>
  <c r="O46" i="18"/>
  <c r="N46" i="18"/>
  <c r="M46" i="18"/>
  <c r="K46" i="18"/>
  <c r="J46" i="18"/>
  <c r="H46" i="18"/>
  <c r="G46" i="18"/>
  <c r="F46" i="18"/>
  <c r="E46" i="18"/>
  <c r="C46" i="18"/>
  <c r="B46" i="18"/>
  <c r="P44" i="18"/>
  <c r="O44" i="18"/>
  <c r="N44" i="18"/>
  <c r="M44" i="18"/>
  <c r="K44" i="18"/>
  <c r="J44" i="18"/>
  <c r="H44" i="18"/>
  <c r="G44" i="18"/>
  <c r="F44" i="18"/>
  <c r="E44" i="18"/>
  <c r="C44" i="18"/>
  <c r="B44" i="18"/>
  <c r="P43" i="18"/>
  <c r="O43" i="18"/>
  <c r="N43" i="18"/>
  <c r="M43" i="18"/>
  <c r="K43" i="18"/>
  <c r="J43" i="18"/>
  <c r="H43" i="18"/>
  <c r="G43" i="18"/>
  <c r="F43" i="18"/>
  <c r="E43" i="18"/>
  <c r="C43" i="18"/>
  <c r="B43" i="18"/>
  <c r="P42" i="18"/>
  <c r="O42" i="18"/>
  <c r="N42" i="18"/>
  <c r="M42" i="18"/>
  <c r="K42" i="18"/>
  <c r="J42" i="18"/>
  <c r="H42" i="18"/>
  <c r="G42" i="18"/>
  <c r="F42" i="18"/>
  <c r="E42" i="18"/>
  <c r="C42" i="18"/>
  <c r="B42" i="18"/>
  <c r="P41" i="18"/>
  <c r="O41" i="18"/>
  <c r="N41" i="18"/>
  <c r="M41" i="18"/>
  <c r="K41" i="18"/>
  <c r="J41" i="18"/>
  <c r="H41" i="18"/>
  <c r="G41" i="18"/>
  <c r="F41" i="18"/>
  <c r="E41" i="18"/>
  <c r="C41" i="18"/>
  <c r="B41" i="18"/>
  <c r="P27" i="18"/>
  <c r="O27" i="18"/>
  <c r="N27" i="18"/>
  <c r="M27" i="18"/>
  <c r="K27" i="18"/>
  <c r="J27" i="18"/>
  <c r="H27" i="18"/>
  <c r="G27" i="18"/>
  <c r="F27" i="18"/>
  <c r="E27" i="18"/>
  <c r="C27" i="18"/>
  <c r="B27" i="18"/>
  <c r="P26" i="18"/>
  <c r="O26" i="18"/>
  <c r="N26" i="18"/>
  <c r="M26" i="18"/>
  <c r="K26" i="18"/>
  <c r="J26" i="18"/>
  <c r="H26" i="18"/>
  <c r="G26" i="18"/>
  <c r="F26" i="18"/>
  <c r="E26" i="18"/>
  <c r="C26" i="18"/>
  <c r="B26" i="18"/>
  <c r="P25" i="18"/>
  <c r="O25" i="18"/>
  <c r="N25" i="18"/>
  <c r="M25" i="18"/>
  <c r="K25" i="18"/>
  <c r="J25" i="18"/>
  <c r="H25" i="18"/>
  <c r="G25" i="18"/>
  <c r="F25" i="18"/>
  <c r="E25" i="18"/>
  <c r="C25" i="18"/>
  <c r="B25" i="18"/>
  <c r="P24" i="18"/>
  <c r="O24" i="18"/>
  <c r="N24" i="18"/>
  <c r="M24" i="18"/>
  <c r="K24" i="18"/>
  <c r="J24" i="18"/>
  <c r="H24" i="18"/>
  <c r="G24" i="18"/>
  <c r="F24" i="18"/>
  <c r="E24" i="18"/>
  <c r="C24" i="18"/>
  <c r="B24" i="18"/>
  <c r="P22" i="18"/>
  <c r="O22" i="18"/>
  <c r="N22" i="18"/>
  <c r="M22" i="18"/>
  <c r="K22" i="18"/>
  <c r="J22" i="18"/>
  <c r="H22" i="18"/>
  <c r="G22" i="18"/>
  <c r="F22" i="18"/>
  <c r="E22" i="18"/>
  <c r="C22" i="18"/>
  <c r="B22" i="18"/>
  <c r="P21" i="18"/>
  <c r="O21" i="18"/>
  <c r="N21" i="18"/>
  <c r="M21" i="18"/>
  <c r="K21" i="18"/>
  <c r="J21" i="18"/>
  <c r="H21" i="18"/>
  <c r="G21" i="18"/>
  <c r="F21" i="18"/>
  <c r="E21" i="18"/>
  <c r="C21" i="18"/>
  <c r="B21" i="18"/>
  <c r="P20" i="18"/>
  <c r="O20" i="18"/>
  <c r="N20" i="18"/>
  <c r="M20" i="18"/>
  <c r="K20" i="18"/>
  <c r="J20" i="18"/>
  <c r="H20" i="18"/>
  <c r="G20" i="18"/>
  <c r="F20" i="18"/>
  <c r="E20" i="18"/>
  <c r="C20" i="18"/>
  <c r="B20" i="18"/>
  <c r="P19" i="18"/>
  <c r="O19" i="18"/>
  <c r="N19" i="18"/>
  <c r="M19" i="18"/>
  <c r="K19" i="18"/>
  <c r="J19" i="18"/>
  <c r="H19" i="18"/>
  <c r="G19" i="18"/>
  <c r="F19" i="18"/>
  <c r="E19" i="18"/>
  <c r="C19" i="18"/>
  <c r="B19" i="18"/>
  <c r="P17" i="18"/>
  <c r="O17" i="18"/>
  <c r="N17" i="18"/>
  <c r="M17" i="18"/>
  <c r="K17" i="18"/>
  <c r="J17" i="18"/>
  <c r="H17" i="18"/>
  <c r="G17" i="18"/>
  <c r="F17" i="18"/>
  <c r="E17" i="18"/>
  <c r="C17" i="18"/>
  <c r="B17" i="18"/>
  <c r="P16" i="18"/>
  <c r="O16" i="18"/>
  <c r="N16" i="18"/>
  <c r="M16" i="18"/>
  <c r="K16" i="18"/>
  <c r="J16" i="18"/>
  <c r="H16" i="18"/>
  <c r="G16" i="18"/>
  <c r="F16" i="18"/>
  <c r="E16" i="18"/>
  <c r="C16" i="18"/>
  <c r="B16" i="18"/>
  <c r="P15" i="18"/>
  <c r="O15" i="18"/>
  <c r="N15" i="18"/>
  <c r="M15" i="18"/>
  <c r="K15" i="18"/>
  <c r="J15" i="18"/>
  <c r="H15" i="18"/>
  <c r="G15" i="18"/>
  <c r="F15" i="18"/>
  <c r="E15" i="18"/>
  <c r="C15" i="18"/>
  <c r="B15" i="18"/>
  <c r="P14" i="18"/>
  <c r="O14" i="18"/>
  <c r="N14" i="18"/>
  <c r="M14" i="18"/>
  <c r="K14" i="18"/>
  <c r="J14" i="18"/>
  <c r="H14" i="18"/>
  <c r="G14" i="18"/>
  <c r="F14" i="18"/>
  <c r="E14" i="18"/>
  <c r="C14" i="18"/>
  <c r="B14" i="18"/>
  <c r="P12" i="18"/>
  <c r="O12" i="18"/>
  <c r="N12" i="18"/>
  <c r="M12" i="18"/>
  <c r="K12" i="18"/>
  <c r="J12" i="18"/>
  <c r="H12" i="18"/>
  <c r="G12" i="18"/>
  <c r="F12" i="18"/>
  <c r="E12" i="18"/>
  <c r="C12" i="18"/>
  <c r="B12" i="18"/>
  <c r="P11" i="18"/>
  <c r="O11" i="18"/>
  <c r="N11" i="18"/>
  <c r="M11" i="18"/>
  <c r="K11" i="18"/>
  <c r="J11" i="18"/>
  <c r="H11" i="18"/>
  <c r="G11" i="18"/>
  <c r="F11" i="18"/>
  <c r="E11" i="18"/>
  <c r="C11" i="18"/>
  <c r="B11" i="18"/>
  <c r="P10" i="18"/>
  <c r="O10" i="18"/>
  <c r="N10" i="18"/>
  <c r="M10" i="18"/>
  <c r="K10" i="18"/>
  <c r="J10" i="18"/>
  <c r="H10" i="18"/>
  <c r="G10" i="18"/>
  <c r="F10" i="18"/>
  <c r="E10" i="18"/>
  <c r="C10" i="18"/>
  <c r="B10" i="18"/>
  <c r="P9" i="18"/>
  <c r="O9" i="18"/>
  <c r="N9" i="18"/>
  <c r="M9" i="18"/>
  <c r="K9" i="18"/>
  <c r="J9" i="18"/>
  <c r="H9" i="18"/>
  <c r="G9" i="18"/>
  <c r="F9" i="18"/>
  <c r="E9" i="18"/>
  <c r="C9" i="18"/>
  <c r="B9" i="18"/>
  <c r="Q454" i="18"/>
  <c r="Q449" i="18"/>
  <c r="Q444" i="18"/>
  <c r="Q439" i="18"/>
  <c r="Q438" i="18"/>
  <c r="Q437" i="18"/>
  <c r="Q436" i="18"/>
  <c r="Q435" i="18"/>
  <c r="Q434" i="18"/>
  <c r="Q433" i="18"/>
  <c r="Q432" i="18"/>
  <c r="Q431" i="18"/>
  <c r="Q430" i="18"/>
  <c r="Q429" i="18"/>
  <c r="Q424" i="18"/>
  <c r="Q419" i="18"/>
  <c r="Q414" i="18"/>
  <c r="Q409" i="18"/>
  <c r="Q408" i="18"/>
  <c r="Q407" i="18"/>
  <c r="Q406" i="18"/>
  <c r="Q405" i="18"/>
  <c r="Q404" i="18"/>
  <c r="Q403" i="18"/>
  <c r="Q402" i="18"/>
  <c r="Q401" i="18"/>
  <c r="Q400" i="18"/>
  <c r="Q399" i="18"/>
  <c r="Q394" i="18"/>
  <c r="Q389" i="18"/>
  <c r="Q384" i="18"/>
  <c r="Q379" i="18"/>
  <c r="Q378" i="18"/>
  <c r="Q377" i="18"/>
  <c r="Q376" i="18"/>
  <c r="Q375" i="18"/>
  <c r="Q374" i="18"/>
  <c r="Q373" i="18"/>
  <c r="Q372" i="18"/>
  <c r="Q371" i="18"/>
  <c r="Q370" i="18"/>
  <c r="Q369" i="18"/>
  <c r="Q368" i="18"/>
  <c r="Q363" i="18"/>
  <c r="Q358" i="18"/>
  <c r="D357" i="18"/>
  <c r="L43" i="20" s="1"/>
  <c r="Q353" i="18"/>
  <c r="Q348" i="18"/>
  <c r="Q347" i="18"/>
  <c r="Q346" i="18"/>
  <c r="Q345" i="18"/>
  <c r="Q344" i="18"/>
  <c r="Q343" i="18"/>
  <c r="Q342" i="18"/>
  <c r="Q341" i="18"/>
  <c r="Q340" i="18"/>
  <c r="Q338" i="18"/>
  <c r="Q337" i="18"/>
  <c r="D336" i="18"/>
  <c r="K53" i="20" s="1"/>
  <c r="Q332" i="18"/>
  <c r="Q327" i="18"/>
  <c r="Q322" i="18"/>
  <c r="Q317" i="18"/>
  <c r="Q316" i="18"/>
  <c r="Q315" i="18"/>
  <c r="Q314" i="18"/>
  <c r="Q313" i="18"/>
  <c r="Q312" i="18"/>
  <c r="Q311" i="18"/>
  <c r="Q310" i="18"/>
  <c r="Q309" i="18"/>
  <c r="Q308" i="18"/>
  <c r="Q307" i="18"/>
  <c r="Q306" i="18"/>
  <c r="Q301" i="18"/>
  <c r="Q296" i="18"/>
  <c r="Q291" i="18"/>
  <c r="Q286" i="18"/>
  <c r="Q285" i="18"/>
  <c r="Q284" i="18"/>
  <c r="Q283" i="18"/>
  <c r="Q282" i="18"/>
  <c r="Q281" i="18"/>
  <c r="Q280" i="18"/>
  <c r="Q279" i="18"/>
  <c r="Q278" i="18"/>
  <c r="Q277" i="18"/>
  <c r="Q276" i="18"/>
  <c r="Q275" i="18"/>
  <c r="D274" i="18"/>
  <c r="Q270" i="18"/>
  <c r="Q265" i="18"/>
  <c r="Q260" i="18"/>
  <c r="Q255" i="18"/>
  <c r="Q254" i="18"/>
  <c r="Q253" i="18"/>
  <c r="Q252" i="18"/>
  <c r="Q251" i="18"/>
  <c r="Q250" i="18"/>
  <c r="Q249" i="18"/>
  <c r="Q248" i="18"/>
  <c r="Q247" i="18"/>
  <c r="Q246" i="18"/>
  <c r="Q245" i="18"/>
  <c r="Q244" i="18"/>
  <c r="Q239" i="18"/>
  <c r="Q234" i="18"/>
  <c r="Q229" i="18"/>
  <c r="Q224" i="18"/>
  <c r="Q223" i="18"/>
  <c r="Q222" i="18"/>
  <c r="Q221" i="18"/>
  <c r="Q220" i="18"/>
  <c r="Q219" i="18"/>
  <c r="Q218" i="18"/>
  <c r="Q217" i="18"/>
  <c r="R216" i="18"/>
  <c r="Q216" i="18"/>
  <c r="R215" i="18"/>
  <c r="Q215" i="18"/>
  <c r="R214" i="18"/>
  <c r="Q214" i="18"/>
  <c r="R213" i="18"/>
  <c r="Q213" i="18"/>
  <c r="R208" i="18"/>
  <c r="Q208" i="18"/>
  <c r="R203" i="18"/>
  <c r="Q203" i="18"/>
  <c r="R198" i="18"/>
  <c r="Q198" i="18"/>
  <c r="R193" i="18"/>
  <c r="Q193" i="18"/>
  <c r="R192" i="18"/>
  <c r="Q192" i="18"/>
  <c r="R191" i="18"/>
  <c r="Q191" i="18"/>
  <c r="R190" i="18"/>
  <c r="Q190" i="18"/>
  <c r="R189" i="18"/>
  <c r="Q189" i="18"/>
  <c r="R188" i="18"/>
  <c r="Q188" i="18"/>
  <c r="R187" i="18"/>
  <c r="Q187" i="18"/>
  <c r="R186" i="18"/>
  <c r="Q186" i="18"/>
  <c r="R185" i="18"/>
  <c r="Q185" i="18"/>
  <c r="R184" i="18"/>
  <c r="Q184" i="18"/>
  <c r="R183" i="18"/>
  <c r="Q183" i="18"/>
  <c r="R178" i="18"/>
  <c r="Q178" i="18"/>
  <c r="R173" i="18"/>
  <c r="Q173" i="18"/>
  <c r="R168" i="18"/>
  <c r="Q168" i="18"/>
  <c r="R163" i="18"/>
  <c r="Q163" i="18"/>
  <c r="R162" i="18"/>
  <c r="Q162" i="18"/>
  <c r="R161" i="18"/>
  <c r="Q161" i="18"/>
  <c r="R160" i="18"/>
  <c r="Q160" i="18"/>
  <c r="R159" i="18"/>
  <c r="Q159" i="18"/>
  <c r="R158" i="18"/>
  <c r="Q158" i="18"/>
  <c r="R157" i="18"/>
  <c r="Q157" i="18"/>
  <c r="R156" i="18"/>
  <c r="Q156" i="18"/>
  <c r="R155" i="18"/>
  <c r="Q155" i="18"/>
  <c r="R153" i="18"/>
  <c r="Q153" i="18"/>
  <c r="R152" i="18"/>
  <c r="Q152" i="18"/>
  <c r="R147" i="18"/>
  <c r="Q147" i="18"/>
  <c r="R142" i="18"/>
  <c r="Q142" i="18"/>
  <c r="R137" i="18"/>
  <c r="Q137" i="18"/>
  <c r="R132" i="18"/>
  <c r="Q132" i="18"/>
  <c r="R131" i="18"/>
  <c r="Q131" i="18"/>
  <c r="R130" i="18"/>
  <c r="Q130" i="18"/>
  <c r="R129" i="18"/>
  <c r="Q129" i="18"/>
  <c r="R128" i="18"/>
  <c r="Q128" i="18"/>
  <c r="R127" i="18"/>
  <c r="Q127" i="18"/>
  <c r="R126" i="18"/>
  <c r="Q126" i="18"/>
  <c r="R125" i="18"/>
  <c r="Q125" i="18"/>
  <c r="R124" i="18"/>
  <c r="Q124" i="18"/>
  <c r="R123" i="18"/>
  <c r="Q123" i="18"/>
  <c r="R122" i="18"/>
  <c r="Q122" i="18"/>
  <c r="R121" i="18"/>
  <c r="Q121" i="18"/>
  <c r="R116" i="18"/>
  <c r="Q116" i="18"/>
  <c r="R111" i="18"/>
  <c r="Q111" i="18"/>
  <c r="R106" i="18"/>
  <c r="Q106" i="18"/>
  <c r="R101" i="18"/>
  <c r="Q101" i="18"/>
  <c r="R100" i="18"/>
  <c r="Q100" i="18"/>
  <c r="R99" i="18"/>
  <c r="Q99" i="18"/>
  <c r="R98" i="18"/>
  <c r="Q98" i="18"/>
  <c r="R97" i="18"/>
  <c r="Q97" i="18"/>
  <c r="R96" i="18"/>
  <c r="Q96" i="18"/>
  <c r="R95" i="18"/>
  <c r="Q95" i="18"/>
  <c r="R94" i="18"/>
  <c r="Q94" i="18"/>
  <c r="R93" i="18"/>
  <c r="Q93" i="18"/>
  <c r="R92" i="18"/>
  <c r="Q92" i="18"/>
  <c r="R91" i="18"/>
  <c r="Q91" i="18"/>
  <c r="R86" i="18"/>
  <c r="Q86" i="18"/>
  <c r="R81" i="18"/>
  <c r="Q81" i="18"/>
  <c r="R76" i="18"/>
  <c r="Q76" i="18"/>
  <c r="R71" i="18"/>
  <c r="Q71" i="18"/>
  <c r="R70" i="18"/>
  <c r="Q70" i="18"/>
  <c r="R69" i="18"/>
  <c r="Q69" i="18"/>
  <c r="R68" i="18"/>
  <c r="Q68" i="18"/>
  <c r="R67" i="18"/>
  <c r="Q67" i="18"/>
  <c r="R66" i="18"/>
  <c r="Q66" i="18"/>
  <c r="R65" i="18"/>
  <c r="Q65" i="18"/>
  <c r="R64" i="18"/>
  <c r="Q64" i="18"/>
  <c r="R63" i="18"/>
  <c r="Q63" i="18"/>
  <c r="R62" i="18"/>
  <c r="Q62" i="18"/>
  <c r="R61" i="18"/>
  <c r="Q61" i="18"/>
  <c r="R60" i="18"/>
  <c r="Q60" i="18"/>
  <c r="R55" i="18"/>
  <c r="Q55" i="18"/>
  <c r="R50" i="18"/>
  <c r="Q50" i="18"/>
  <c r="R45" i="18"/>
  <c r="Q45" i="18"/>
  <c r="R40" i="18"/>
  <c r="Q40" i="18"/>
  <c r="R39" i="18"/>
  <c r="Q39" i="18"/>
  <c r="R38" i="18"/>
  <c r="Q38" i="18"/>
  <c r="R37" i="18"/>
  <c r="Q37" i="18"/>
  <c r="R36" i="18"/>
  <c r="Q36" i="18"/>
  <c r="R35" i="18"/>
  <c r="Q35" i="18"/>
  <c r="R34" i="18"/>
  <c r="Q34" i="18"/>
  <c r="R33" i="18"/>
  <c r="Q33" i="18"/>
  <c r="R32" i="18"/>
  <c r="Q32" i="18"/>
  <c r="R31" i="18"/>
  <c r="Q31" i="18"/>
  <c r="R30" i="18"/>
  <c r="Q30" i="18"/>
  <c r="R29" i="18"/>
  <c r="Q29" i="18"/>
  <c r="R28" i="18"/>
  <c r="Q28" i="18"/>
  <c r="R23" i="18"/>
  <c r="Q23" i="18"/>
  <c r="R18" i="18"/>
  <c r="Q18" i="18"/>
  <c r="R13" i="18"/>
  <c r="Q13" i="18"/>
  <c r="H458" i="17"/>
  <c r="G458" i="17"/>
  <c r="F458" i="17"/>
  <c r="E458" i="17"/>
  <c r="C458" i="17"/>
  <c r="B458" i="17"/>
  <c r="H457" i="17"/>
  <c r="G457" i="17"/>
  <c r="F457" i="17"/>
  <c r="E457" i="17"/>
  <c r="C457" i="17"/>
  <c r="B457" i="17"/>
  <c r="H456" i="17"/>
  <c r="G456" i="17"/>
  <c r="F456" i="17"/>
  <c r="E456" i="17"/>
  <c r="C456" i="17"/>
  <c r="B456" i="17"/>
  <c r="H455" i="17"/>
  <c r="G455" i="17"/>
  <c r="F455" i="17"/>
  <c r="E455" i="17"/>
  <c r="C455" i="17"/>
  <c r="B455" i="17"/>
  <c r="H453" i="17"/>
  <c r="G453" i="17"/>
  <c r="F453" i="17"/>
  <c r="E453" i="17"/>
  <c r="C453" i="17"/>
  <c r="B453" i="17"/>
  <c r="H452" i="17"/>
  <c r="G452" i="17"/>
  <c r="F452" i="17"/>
  <c r="E452" i="17"/>
  <c r="C452" i="17"/>
  <c r="B452" i="17"/>
  <c r="H451" i="17"/>
  <c r="G451" i="17"/>
  <c r="F451" i="17"/>
  <c r="E451" i="17"/>
  <c r="C451" i="17"/>
  <c r="B451" i="17"/>
  <c r="H450" i="17"/>
  <c r="G450" i="17"/>
  <c r="F450" i="17"/>
  <c r="E450" i="17"/>
  <c r="C450" i="17"/>
  <c r="B450" i="17"/>
  <c r="H448" i="17"/>
  <c r="G448" i="17"/>
  <c r="F448" i="17"/>
  <c r="E448" i="17"/>
  <c r="C448" i="17"/>
  <c r="B448" i="17"/>
  <c r="H447" i="17"/>
  <c r="G447" i="17"/>
  <c r="F447" i="17"/>
  <c r="E447" i="17"/>
  <c r="C447" i="17"/>
  <c r="B447" i="17"/>
  <c r="H446" i="17"/>
  <c r="G446" i="17"/>
  <c r="F446" i="17"/>
  <c r="E446" i="17"/>
  <c r="C446" i="17"/>
  <c r="B446" i="17"/>
  <c r="H445" i="17"/>
  <c r="G445" i="17"/>
  <c r="F445" i="17"/>
  <c r="E445" i="17"/>
  <c r="C445" i="17"/>
  <c r="B445" i="17"/>
  <c r="H443" i="17"/>
  <c r="G443" i="17"/>
  <c r="F443" i="17"/>
  <c r="E443" i="17"/>
  <c r="C443" i="17"/>
  <c r="B443" i="17"/>
  <c r="H442" i="17"/>
  <c r="G442" i="17"/>
  <c r="F442" i="17"/>
  <c r="E442" i="17"/>
  <c r="C442" i="17"/>
  <c r="B442" i="17"/>
  <c r="H441" i="17"/>
  <c r="G441" i="17"/>
  <c r="F441" i="17"/>
  <c r="E441" i="17"/>
  <c r="C441" i="17"/>
  <c r="B441" i="17"/>
  <c r="H440" i="17"/>
  <c r="G440" i="17"/>
  <c r="F440" i="17"/>
  <c r="E440" i="17"/>
  <c r="C440" i="17"/>
  <c r="B440" i="17"/>
  <c r="H428" i="17"/>
  <c r="G428" i="17"/>
  <c r="F428" i="17"/>
  <c r="E428" i="17"/>
  <c r="C428" i="17"/>
  <c r="B428" i="17"/>
  <c r="H427" i="17"/>
  <c r="G427" i="17"/>
  <c r="F427" i="17"/>
  <c r="E427" i="17"/>
  <c r="C427" i="17"/>
  <c r="B427" i="17"/>
  <c r="H426" i="17"/>
  <c r="G426" i="17"/>
  <c r="F426" i="17"/>
  <c r="E426" i="17"/>
  <c r="C426" i="17"/>
  <c r="B426" i="17"/>
  <c r="H425" i="17"/>
  <c r="G425" i="17"/>
  <c r="F425" i="17"/>
  <c r="E425" i="17"/>
  <c r="C425" i="17"/>
  <c r="B425" i="17"/>
  <c r="H423" i="17"/>
  <c r="G423" i="17"/>
  <c r="F423" i="17"/>
  <c r="E423" i="17"/>
  <c r="C423" i="17"/>
  <c r="B423" i="17"/>
  <c r="H422" i="17"/>
  <c r="G422" i="17"/>
  <c r="F422" i="17"/>
  <c r="E422" i="17"/>
  <c r="C422" i="17"/>
  <c r="B422" i="17"/>
  <c r="H421" i="17"/>
  <c r="G421" i="17"/>
  <c r="F421" i="17"/>
  <c r="E421" i="17"/>
  <c r="C421" i="17"/>
  <c r="B421" i="17"/>
  <c r="H420" i="17"/>
  <c r="G420" i="17"/>
  <c r="F420" i="17"/>
  <c r="E420" i="17"/>
  <c r="C420" i="17"/>
  <c r="B420" i="17"/>
  <c r="H418" i="17"/>
  <c r="G418" i="17"/>
  <c r="F418" i="17"/>
  <c r="E418" i="17"/>
  <c r="C418" i="17"/>
  <c r="B418" i="17"/>
  <c r="H417" i="17"/>
  <c r="G417" i="17"/>
  <c r="F417" i="17"/>
  <c r="E417" i="17"/>
  <c r="C417" i="17"/>
  <c r="B417" i="17"/>
  <c r="H416" i="17"/>
  <c r="G416" i="17"/>
  <c r="F416" i="17"/>
  <c r="E416" i="17"/>
  <c r="C416" i="17"/>
  <c r="B416" i="17"/>
  <c r="H415" i="17"/>
  <c r="G415" i="17"/>
  <c r="F415" i="17"/>
  <c r="E415" i="17"/>
  <c r="C415" i="17"/>
  <c r="B415" i="17"/>
  <c r="H413" i="17"/>
  <c r="G413" i="17"/>
  <c r="F413" i="17"/>
  <c r="E413" i="17"/>
  <c r="C413" i="17"/>
  <c r="B413" i="17"/>
  <c r="H412" i="17"/>
  <c r="G412" i="17"/>
  <c r="F412" i="17"/>
  <c r="E412" i="17"/>
  <c r="C412" i="17"/>
  <c r="B412" i="17"/>
  <c r="H411" i="17"/>
  <c r="G411" i="17"/>
  <c r="F411" i="17"/>
  <c r="E411" i="17"/>
  <c r="C411" i="17"/>
  <c r="B411" i="17"/>
  <c r="H410" i="17"/>
  <c r="G410" i="17"/>
  <c r="F410" i="17"/>
  <c r="E410" i="17"/>
  <c r="C410" i="17"/>
  <c r="B410" i="17"/>
  <c r="H398" i="17"/>
  <c r="G398" i="17"/>
  <c r="F398" i="17"/>
  <c r="E398" i="17"/>
  <c r="C398" i="17"/>
  <c r="B398" i="17"/>
  <c r="H397" i="17"/>
  <c r="G397" i="17"/>
  <c r="F397" i="17"/>
  <c r="E397" i="17"/>
  <c r="C397" i="17"/>
  <c r="B397" i="17"/>
  <c r="H396" i="17"/>
  <c r="G396" i="17"/>
  <c r="F396" i="17"/>
  <c r="E396" i="17"/>
  <c r="C396" i="17"/>
  <c r="B396" i="17"/>
  <c r="H395" i="17"/>
  <c r="G395" i="17"/>
  <c r="F395" i="17"/>
  <c r="E395" i="17"/>
  <c r="C395" i="17"/>
  <c r="B395" i="17"/>
  <c r="H393" i="17"/>
  <c r="G393" i="17"/>
  <c r="F393" i="17"/>
  <c r="E393" i="17"/>
  <c r="C393" i="17"/>
  <c r="B393" i="17"/>
  <c r="H392" i="17"/>
  <c r="G392" i="17"/>
  <c r="F392" i="17"/>
  <c r="E392" i="17"/>
  <c r="C392" i="17"/>
  <c r="B392" i="17"/>
  <c r="H391" i="17"/>
  <c r="G391" i="17"/>
  <c r="F391" i="17"/>
  <c r="E391" i="17"/>
  <c r="C391" i="17"/>
  <c r="B391" i="17"/>
  <c r="H390" i="17"/>
  <c r="G390" i="17"/>
  <c r="F390" i="17"/>
  <c r="E390" i="17"/>
  <c r="C390" i="17"/>
  <c r="B390" i="17"/>
  <c r="H388" i="17"/>
  <c r="G388" i="17"/>
  <c r="F388" i="17"/>
  <c r="E388" i="17"/>
  <c r="C388" i="17"/>
  <c r="B388" i="17"/>
  <c r="H387" i="17"/>
  <c r="G387" i="17"/>
  <c r="F387" i="17"/>
  <c r="E387" i="17"/>
  <c r="C387" i="17"/>
  <c r="B387" i="17"/>
  <c r="H386" i="17"/>
  <c r="G386" i="17"/>
  <c r="F386" i="17"/>
  <c r="E386" i="17"/>
  <c r="C386" i="17"/>
  <c r="B386" i="17"/>
  <c r="H385" i="17"/>
  <c r="G385" i="17"/>
  <c r="F385" i="17"/>
  <c r="E385" i="17"/>
  <c r="C385" i="17"/>
  <c r="B385" i="17"/>
  <c r="H383" i="17"/>
  <c r="G383" i="17"/>
  <c r="F383" i="17"/>
  <c r="E383" i="17"/>
  <c r="C383" i="17"/>
  <c r="B383" i="17"/>
  <c r="H382" i="17"/>
  <c r="G382" i="17"/>
  <c r="F382" i="17"/>
  <c r="E382" i="17"/>
  <c r="C382" i="17"/>
  <c r="B382" i="17"/>
  <c r="H381" i="17"/>
  <c r="G381" i="17"/>
  <c r="F381" i="17"/>
  <c r="E381" i="17"/>
  <c r="C381" i="17"/>
  <c r="B381" i="17"/>
  <c r="H380" i="17"/>
  <c r="G380" i="17"/>
  <c r="F380" i="17"/>
  <c r="E380" i="17"/>
  <c r="C380" i="17"/>
  <c r="B380" i="17"/>
  <c r="H367" i="17"/>
  <c r="G367" i="17"/>
  <c r="F367" i="17"/>
  <c r="E367" i="17"/>
  <c r="C367" i="17"/>
  <c r="B367" i="17"/>
  <c r="H366" i="17"/>
  <c r="G366" i="17"/>
  <c r="F366" i="17"/>
  <c r="E366" i="17"/>
  <c r="C366" i="17"/>
  <c r="B366" i="17"/>
  <c r="H365" i="17"/>
  <c r="G365" i="17"/>
  <c r="F365" i="17"/>
  <c r="E365" i="17"/>
  <c r="C365" i="17"/>
  <c r="B365" i="17"/>
  <c r="H364" i="17"/>
  <c r="G364" i="17"/>
  <c r="F364" i="17"/>
  <c r="E364" i="17"/>
  <c r="C364" i="17"/>
  <c r="B364" i="17"/>
  <c r="H362" i="17"/>
  <c r="G362" i="17"/>
  <c r="F362" i="17"/>
  <c r="E362" i="17"/>
  <c r="C362" i="17"/>
  <c r="B362" i="17"/>
  <c r="H361" i="17"/>
  <c r="G361" i="17"/>
  <c r="F361" i="17"/>
  <c r="E361" i="17"/>
  <c r="C361" i="17"/>
  <c r="B361" i="17"/>
  <c r="H360" i="17"/>
  <c r="G360" i="17"/>
  <c r="F360" i="17"/>
  <c r="E360" i="17"/>
  <c r="C360" i="17"/>
  <c r="B360" i="17"/>
  <c r="H359" i="17"/>
  <c r="G359" i="17"/>
  <c r="F359" i="17"/>
  <c r="E359" i="17"/>
  <c r="C359" i="17"/>
  <c r="B359" i="17"/>
  <c r="H357" i="17"/>
  <c r="G357" i="17"/>
  <c r="F357" i="17"/>
  <c r="E357" i="17"/>
  <c r="C357" i="17"/>
  <c r="B357" i="17"/>
  <c r="H356" i="17"/>
  <c r="G356" i="17"/>
  <c r="F356" i="17"/>
  <c r="E356" i="17"/>
  <c r="C356" i="17"/>
  <c r="B356" i="17"/>
  <c r="H355" i="17"/>
  <c r="G355" i="17"/>
  <c r="F355" i="17"/>
  <c r="E355" i="17"/>
  <c r="C355" i="17"/>
  <c r="B355" i="17"/>
  <c r="H354" i="17"/>
  <c r="G354" i="17"/>
  <c r="F354" i="17"/>
  <c r="E354" i="17"/>
  <c r="C354" i="17"/>
  <c r="B354" i="17"/>
  <c r="H352" i="17"/>
  <c r="G352" i="17"/>
  <c r="F352" i="17"/>
  <c r="E352" i="17"/>
  <c r="C352" i="17"/>
  <c r="B352" i="17"/>
  <c r="H351" i="17"/>
  <c r="G351" i="17"/>
  <c r="F351" i="17"/>
  <c r="E351" i="17"/>
  <c r="C351" i="17"/>
  <c r="B351" i="17"/>
  <c r="H350" i="17"/>
  <c r="G350" i="17"/>
  <c r="F350" i="17"/>
  <c r="E350" i="17"/>
  <c r="C350" i="17"/>
  <c r="B350" i="17"/>
  <c r="H349" i="17"/>
  <c r="G349" i="17"/>
  <c r="F349" i="17"/>
  <c r="E349" i="17"/>
  <c r="C349" i="17"/>
  <c r="B349" i="17"/>
  <c r="H336" i="17"/>
  <c r="G336" i="17"/>
  <c r="F336" i="17"/>
  <c r="E336" i="17"/>
  <c r="C336" i="17"/>
  <c r="B336" i="17"/>
  <c r="H335" i="17"/>
  <c r="G335" i="17"/>
  <c r="F335" i="17"/>
  <c r="E335" i="17"/>
  <c r="C335" i="17"/>
  <c r="B335" i="17"/>
  <c r="H334" i="17"/>
  <c r="G334" i="17"/>
  <c r="F334" i="17"/>
  <c r="E334" i="17"/>
  <c r="C334" i="17"/>
  <c r="B334" i="17"/>
  <c r="H333" i="17"/>
  <c r="G333" i="17"/>
  <c r="F333" i="17"/>
  <c r="E333" i="17"/>
  <c r="C333" i="17"/>
  <c r="B333" i="17"/>
  <c r="H331" i="17"/>
  <c r="G331" i="17"/>
  <c r="F331" i="17"/>
  <c r="E331" i="17"/>
  <c r="C331" i="17"/>
  <c r="B331" i="17"/>
  <c r="H330" i="17"/>
  <c r="G330" i="17"/>
  <c r="F330" i="17"/>
  <c r="E330" i="17"/>
  <c r="C330" i="17"/>
  <c r="B330" i="17"/>
  <c r="H329" i="17"/>
  <c r="G329" i="17"/>
  <c r="F329" i="17"/>
  <c r="E329" i="17"/>
  <c r="C329" i="17"/>
  <c r="B329" i="17"/>
  <c r="H328" i="17"/>
  <c r="G328" i="17"/>
  <c r="F328" i="17"/>
  <c r="E328" i="17"/>
  <c r="C328" i="17"/>
  <c r="B328" i="17"/>
  <c r="H326" i="17"/>
  <c r="G326" i="17"/>
  <c r="F326" i="17"/>
  <c r="E326" i="17"/>
  <c r="C326" i="17"/>
  <c r="B326" i="17"/>
  <c r="H325" i="17"/>
  <c r="G325" i="17"/>
  <c r="F325" i="17"/>
  <c r="E325" i="17"/>
  <c r="C325" i="17"/>
  <c r="B325" i="17"/>
  <c r="H324" i="17"/>
  <c r="G324" i="17"/>
  <c r="F324" i="17"/>
  <c r="E324" i="17"/>
  <c r="C324" i="17"/>
  <c r="B324" i="17"/>
  <c r="H323" i="17"/>
  <c r="G323" i="17"/>
  <c r="F323" i="17"/>
  <c r="E323" i="17"/>
  <c r="C323" i="17"/>
  <c r="B323" i="17"/>
  <c r="H321" i="17"/>
  <c r="G321" i="17"/>
  <c r="F321" i="17"/>
  <c r="E321" i="17"/>
  <c r="C321" i="17"/>
  <c r="B321" i="17"/>
  <c r="H320" i="17"/>
  <c r="G320" i="17"/>
  <c r="F320" i="17"/>
  <c r="E320" i="17"/>
  <c r="C320" i="17"/>
  <c r="B320" i="17"/>
  <c r="H319" i="17"/>
  <c r="G319" i="17"/>
  <c r="F319" i="17"/>
  <c r="E319" i="17"/>
  <c r="C319" i="17"/>
  <c r="B319" i="17"/>
  <c r="H318" i="17"/>
  <c r="G318" i="17"/>
  <c r="F318" i="17"/>
  <c r="E318" i="17"/>
  <c r="C318" i="17"/>
  <c r="B318" i="17"/>
  <c r="H305" i="17"/>
  <c r="G305" i="17"/>
  <c r="F305" i="17"/>
  <c r="E305" i="17"/>
  <c r="C305" i="17"/>
  <c r="B305" i="17"/>
  <c r="H304" i="17"/>
  <c r="G304" i="17"/>
  <c r="F304" i="17"/>
  <c r="E304" i="17"/>
  <c r="C304" i="17"/>
  <c r="B304" i="17"/>
  <c r="H303" i="17"/>
  <c r="G303" i="17"/>
  <c r="F303" i="17"/>
  <c r="E303" i="17"/>
  <c r="C303" i="17"/>
  <c r="B303" i="17"/>
  <c r="H302" i="17"/>
  <c r="G302" i="17"/>
  <c r="F302" i="17"/>
  <c r="E302" i="17"/>
  <c r="C302" i="17"/>
  <c r="B302" i="17"/>
  <c r="H300" i="17"/>
  <c r="G300" i="17"/>
  <c r="F300" i="17"/>
  <c r="E300" i="17"/>
  <c r="C300" i="17"/>
  <c r="B300" i="17"/>
  <c r="H299" i="17"/>
  <c r="G299" i="17"/>
  <c r="F299" i="17"/>
  <c r="E299" i="17"/>
  <c r="C299" i="17"/>
  <c r="B299" i="17"/>
  <c r="H298" i="17"/>
  <c r="G298" i="17"/>
  <c r="F298" i="17"/>
  <c r="E298" i="17"/>
  <c r="C298" i="17"/>
  <c r="B298" i="17"/>
  <c r="H297" i="17"/>
  <c r="G297" i="17"/>
  <c r="F297" i="17"/>
  <c r="E297" i="17"/>
  <c r="C297" i="17"/>
  <c r="B297" i="17"/>
  <c r="H295" i="17"/>
  <c r="G295" i="17"/>
  <c r="F295" i="17"/>
  <c r="E295" i="17"/>
  <c r="C295" i="17"/>
  <c r="B295" i="17"/>
  <c r="H294" i="17"/>
  <c r="G294" i="17"/>
  <c r="F294" i="17"/>
  <c r="E294" i="17"/>
  <c r="C294" i="17"/>
  <c r="B294" i="17"/>
  <c r="H293" i="17"/>
  <c r="G293" i="17"/>
  <c r="F293" i="17"/>
  <c r="E293" i="17"/>
  <c r="C293" i="17"/>
  <c r="B293" i="17"/>
  <c r="H292" i="17"/>
  <c r="G292" i="17"/>
  <c r="F292" i="17"/>
  <c r="E292" i="17"/>
  <c r="C292" i="17"/>
  <c r="B292" i="17"/>
  <c r="H290" i="17"/>
  <c r="G290" i="17"/>
  <c r="F290" i="17"/>
  <c r="E290" i="17"/>
  <c r="C290" i="17"/>
  <c r="B290" i="17"/>
  <c r="H289" i="17"/>
  <c r="G289" i="17"/>
  <c r="F289" i="17"/>
  <c r="E289" i="17"/>
  <c r="C289" i="17"/>
  <c r="B289" i="17"/>
  <c r="H288" i="17"/>
  <c r="G288" i="17"/>
  <c r="F288" i="17"/>
  <c r="E288" i="17"/>
  <c r="C288" i="17"/>
  <c r="B288" i="17"/>
  <c r="H287" i="17"/>
  <c r="G287" i="17"/>
  <c r="F287" i="17"/>
  <c r="E287" i="17"/>
  <c r="C287" i="17"/>
  <c r="B287" i="17"/>
  <c r="H274" i="17"/>
  <c r="G274" i="17"/>
  <c r="F274" i="17"/>
  <c r="E274" i="17"/>
  <c r="C274" i="17"/>
  <c r="B274" i="17"/>
  <c r="H273" i="17"/>
  <c r="G273" i="17"/>
  <c r="F273" i="17"/>
  <c r="E273" i="17"/>
  <c r="C273" i="17"/>
  <c r="B273" i="17"/>
  <c r="H272" i="17"/>
  <c r="G272" i="17"/>
  <c r="F272" i="17"/>
  <c r="E272" i="17"/>
  <c r="C272" i="17"/>
  <c r="B272" i="17"/>
  <c r="H271" i="17"/>
  <c r="G271" i="17"/>
  <c r="F271" i="17"/>
  <c r="E271" i="17"/>
  <c r="C271" i="17"/>
  <c r="B271" i="17"/>
  <c r="H269" i="17"/>
  <c r="G269" i="17"/>
  <c r="F269" i="17"/>
  <c r="E269" i="17"/>
  <c r="C269" i="17"/>
  <c r="B269" i="17"/>
  <c r="H268" i="17"/>
  <c r="G268" i="17"/>
  <c r="F268" i="17"/>
  <c r="E268" i="17"/>
  <c r="C268" i="17"/>
  <c r="B268" i="17"/>
  <c r="H267" i="17"/>
  <c r="G267" i="17"/>
  <c r="F267" i="17"/>
  <c r="E267" i="17"/>
  <c r="C267" i="17"/>
  <c r="B267" i="17"/>
  <c r="H266" i="17"/>
  <c r="G266" i="17"/>
  <c r="F266" i="17"/>
  <c r="E266" i="17"/>
  <c r="C266" i="17"/>
  <c r="B266" i="17"/>
  <c r="H264" i="17"/>
  <c r="G264" i="17"/>
  <c r="F264" i="17"/>
  <c r="E264" i="17"/>
  <c r="C264" i="17"/>
  <c r="B264" i="17"/>
  <c r="H263" i="17"/>
  <c r="G263" i="17"/>
  <c r="F263" i="17"/>
  <c r="E263" i="17"/>
  <c r="C263" i="17"/>
  <c r="B263" i="17"/>
  <c r="H262" i="17"/>
  <c r="G262" i="17"/>
  <c r="F262" i="17"/>
  <c r="E262" i="17"/>
  <c r="C262" i="17"/>
  <c r="B262" i="17"/>
  <c r="H261" i="17"/>
  <c r="G261" i="17"/>
  <c r="F261" i="17"/>
  <c r="E261" i="17"/>
  <c r="C261" i="17"/>
  <c r="B261" i="17"/>
  <c r="H259" i="17"/>
  <c r="G259" i="17"/>
  <c r="F259" i="17"/>
  <c r="E259" i="17"/>
  <c r="C259" i="17"/>
  <c r="B259" i="17"/>
  <c r="H258" i="17"/>
  <c r="G258" i="17"/>
  <c r="F258" i="17"/>
  <c r="E258" i="17"/>
  <c r="C258" i="17"/>
  <c r="B258" i="17"/>
  <c r="H257" i="17"/>
  <c r="G257" i="17"/>
  <c r="F257" i="17"/>
  <c r="E257" i="17"/>
  <c r="C257" i="17"/>
  <c r="B257" i="17"/>
  <c r="H256" i="17"/>
  <c r="G256" i="17"/>
  <c r="F256" i="17"/>
  <c r="E256" i="17"/>
  <c r="C256" i="17"/>
  <c r="B256" i="17"/>
  <c r="H243" i="17"/>
  <c r="G243" i="17"/>
  <c r="F243" i="17"/>
  <c r="E243" i="17"/>
  <c r="C243" i="17"/>
  <c r="B243" i="17"/>
  <c r="H242" i="17"/>
  <c r="G242" i="17"/>
  <c r="F242" i="17"/>
  <c r="E242" i="17"/>
  <c r="C242" i="17"/>
  <c r="B242" i="17"/>
  <c r="H241" i="17"/>
  <c r="G241" i="17"/>
  <c r="F241" i="17"/>
  <c r="E241" i="17"/>
  <c r="C241" i="17"/>
  <c r="B241" i="17"/>
  <c r="H240" i="17"/>
  <c r="G240" i="17"/>
  <c r="F240" i="17"/>
  <c r="E240" i="17"/>
  <c r="C240" i="17"/>
  <c r="B240" i="17"/>
  <c r="H238" i="17"/>
  <c r="G238" i="17"/>
  <c r="F238" i="17"/>
  <c r="E238" i="17"/>
  <c r="C238" i="17"/>
  <c r="B238" i="17"/>
  <c r="H237" i="17"/>
  <c r="G237" i="17"/>
  <c r="F237" i="17"/>
  <c r="E237" i="17"/>
  <c r="C237" i="17"/>
  <c r="B237" i="17"/>
  <c r="H236" i="17"/>
  <c r="G236" i="17"/>
  <c r="F236" i="17"/>
  <c r="E236" i="17"/>
  <c r="C236" i="17"/>
  <c r="B236" i="17"/>
  <c r="H235" i="17"/>
  <c r="G235" i="17"/>
  <c r="F235" i="17"/>
  <c r="E235" i="17"/>
  <c r="C235" i="17"/>
  <c r="B235" i="17"/>
  <c r="H233" i="17"/>
  <c r="G233" i="17"/>
  <c r="F233" i="17"/>
  <c r="E233" i="17"/>
  <c r="C233" i="17"/>
  <c r="B233" i="17"/>
  <c r="H232" i="17"/>
  <c r="G232" i="17"/>
  <c r="F232" i="17"/>
  <c r="E232" i="17"/>
  <c r="C232" i="17"/>
  <c r="B232" i="17"/>
  <c r="H231" i="17"/>
  <c r="G231" i="17"/>
  <c r="F231" i="17"/>
  <c r="E231" i="17"/>
  <c r="C231" i="17"/>
  <c r="B231" i="17"/>
  <c r="H230" i="17"/>
  <c r="G230" i="17"/>
  <c r="F230" i="17"/>
  <c r="E230" i="17"/>
  <c r="C230" i="17"/>
  <c r="B230" i="17"/>
  <c r="H228" i="17"/>
  <c r="G228" i="17"/>
  <c r="F228" i="17"/>
  <c r="E228" i="17"/>
  <c r="C228" i="17"/>
  <c r="B228" i="17"/>
  <c r="H227" i="17"/>
  <c r="G227" i="17"/>
  <c r="F227" i="17"/>
  <c r="E227" i="17"/>
  <c r="C227" i="17"/>
  <c r="B227" i="17"/>
  <c r="H226" i="17"/>
  <c r="G226" i="17"/>
  <c r="F226" i="17"/>
  <c r="E226" i="17"/>
  <c r="C226" i="17"/>
  <c r="B226" i="17"/>
  <c r="H225" i="17"/>
  <c r="G225" i="17"/>
  <c r="F225" i="17"/>
  <c r="E225" i="17"/>
  <c r="C225" i="17"/>
  <c r="B225" i="17"/>
  <c r="P212" i="17"/>
  <c r="O212" i="17"/>
  <c r="N212" i="17"/>
  <c r="M212" i="17"/>
  <c r="K212" i="17"/>
  <c r="J212" i="17"/>
  <c r="H212" i="17"/>
  <c r="G212" i="17"/>
  <c r="F212" i="17"/>
  <c r="E212" i="17"/>
  <c r="C212" i="17"/>
  <c r="B212" i="17"/>
  <c r="P211" i="17"/>
  <c r="O211" i="17"/>
  <c r="N211" i="17"/>
  <c r="M211" i="17"/>
  <c r="K211" i="17"/>
  <c r="J211" i="17"/>
  <c r="H211" i="17"/>
  <c r="G211" i="17"/>
  <c r="F211" i="17"/>
  <c r="E211" i="17"/>
  <c r="C211" i="17"/>
  <c r="B211" i="17"/>
  <c r="P210" i="17"/>
  <c r="O210" i="17"/>
  <c r="N210" i="17"/>
  <c r="M210" i="17"/>
  <c r="K210" i="17"/>
  <c r="J210" i="17"/>
  <c r="H210" i="17"/>
  <c r="G210" i="17"/>
  <c r="F210" i="17"/>
  <c r="E210" i="17"/>
  <c r="C210" i="17"/>
  <c r="B210" i="17"/>
  <c r="P209" i="17"/>
  <c r="O209" i="17"/>
  <c r="N209" i="17"/>
  <c r="M209" i="17"/>
  <c r="K209" i="17"/>
  <c r="J209" i="17"/>
  <c r="H209" i="17"/>
  <c r="G209" i="17"/>
  <c r="F209" i="17"/>
  <c r="E209" i="17"/>
  <c r="C209" i="17"/>
  <c r="B209" i="17"/>
  <c r="P207" i="17"/>
  <c r="O207" i="17"/>
  <c r="N207" i="17"/>
  <c r="M207" i="17"/>
  <c r="K207" i="17"/>
  <c r="J207" i="17"/>
  <c r="H207" i="17"/>
  <c r="G207" i="17"/>
  <c r="F207" i="17"/>
  <c r="E207" i="17"/>
  <c r="C207" i="17"/>
  <c r="B207" i="17"/>
  <c r="P206" i="17"/>
  <c r="O206" i="17"/>
  <c r="N206" i="17"/>
  <c r="M206" i="17"/>
  <c r="K206" i="17"/>
  <c r="J206" i="17"/>
  <c r="H206" i="17"/>
  <c r="G206" i="17"/>
  <c r="F206" i="17"/>
  <c r="E206" i="17"/>
  <c r="C206" i="17"/>
  <c r="B206" i="17"/>
  <c r="P205" i="17"/>
  <c r="O205" i="17"/>
  <c r="N205" i="17"/>
  <c r="M205" i="17"/>
  <c r="K205" i="17"/>
  <c r="J205" i="17"/>
  <c r="H205" i="17"/>
  <c r="G205" i="17"/>
  <c r="F205" i="17"/>
  <c r="E205" i="17"/>
  <c r="C205" i="17"/>
  <c r="B205" i="17"/>
  <c r="P204" i="17"/>
  <c r="O204" i="17"/>
  <c r="N204" i="17"/>
  <c r="M204" i="17"/>
  <c r="K204" i="17"/>
  <c r="J204" i="17"/>
  <c r="H204" i="17"/>
  <c r="G204" i="17"/>
  <c r="F204" i="17"/>
  <c r="E204" i="17"/>
  <c r="C204" i="17"/>
  <c r="B204" i="17"/>
  <c r="P202" i="17"/>
  <c r="O202" i="17"/>
  <c r="N202" i="17"/>
  <c r="M202" i="17"/>
  <c r="K202" i="17"/>
  <c r="J202" i="17"/>
  <c r="H202" i="17"/>
  <c r="G202" i="17"/>
  <c r="F202" i="17"/>
  <c r="E202" i="17"/>
  <c r="C202" i="17"/>
  <c r="B202" i="17"/>
  <c r="P201" i="17"/>
  <c r="O201" i="17"/>
  <c r="N201" i="17"/>
  <c r="M201" i="17"/>
  <c r="K201" i="17"/>
  <c r="J201" i="17"/>
  <c r="H201" i="17"/>
  <c r="G201" i="17"/>
  <c r="F201" i="17"/>
  <c r="E201" i="17"/>
  <c r="C201" i="17"/>
  <c r="B201" i="17"/>
  <c r="P200" i="17"/>
  <c r="O200" i="17"/>
  <c r="N200" i="17"/>
  <c r="M200" i="17"/>
  <c r="K200" i="17"/>
  <c r="J200" i="17"/>
  <c r="H200" i="17"/>
  <c r="G200" i="17"/>
  <c r="F200" i="17"/>
  <c r="E200" i="17"/>
  <c r="C200" i="17"/>
  <c r="B200" i="17"/>
  <c r="P199" i="17"/>
  <c r="O199" i="17"/>
  <c r="N199" i="17"/>
  <c r="M199" i="17"/>
  <c r="K199" i="17"/>
  <c r="J199" i="17"/>
  <c r="H199" i="17"/>
  <c r="G199" i="17"/>
  <c r="F199" i="17"/>
  <c r="E199" i="17"/>
  <c r="C199" i="17"/>
  <c r="B199" i="17"/>
  <c r="P197" i="17"/>
  <c r="O197" i="17"/>
  <c r="N197" i="17"/>
  <c r="M197" i="17"/>
  <c r="K197" i="17"/>
  <c r="J197" i="17"/>
  <c r="H197" i="17"/>
  <c r="G197" i="17"/>
  <c r="F197" i="17"/>
  <c r="E197" i="17"/>
  <c r="C197" i="17"/>
  <c r="B197" i="17"/>
  <c r="P196" i="17"/>
  <c r="O196" i="17"/>
  <c r="N196" i="17"/>
  <c r="M196" i="17"/>
  <c r="K196" i="17"/>
  <c r="J196" i="17"/>
  <c r="H196" i="17"/>
  <c r="G196" i="17"/>
  <c r="F196" i="17"/>
  <c r="E196" i="17"/>
  <c r="C196" i="17"/>
  <c r="B196" i="17"/>
  <c r="P195" i="17"/>
  <c r="O195" i="17"/>
  <c r="N195" i="17"/>
  <c r="M195" i="17"/>
  <c r="K195" i="17"/>
  <c r="J195" i="17"/>
  <c r="H195" i="17"/>
  <c r="G195" i="17"/>
  <c r="F195" i="17"/>
  <c r="E195" i="17"/>
  <c r="C195" i="17"/>
  <c r="B195" i="17"/>
  <c r="P194" i="17"/>
  <c r="O194" i="17"/>
  <c r="N194" i="17"/>
  <c r="M194" i="17"/>
  <c r="K194" i="17"/>
  <c r="J194" i="17"/>
  <c r="H194" i="17"/>
  <c r="G194" i="17"/>
  <c r="F194" i="17"/>
  <c r="E194" i="17"/>
  <c r="C194" i="17"/>
  <c r="B194" i="17"/>
  <c r="P182" i="17"/>
  <c r="O182" i="17"/>
  <c r="N182" i="17"/>
  <c r="M182" i="17"/>
  <c r="K182" i="17"/>
  <c r="J182" i="17"/>
  <c r="H182" i="17"/>
  <c r="G182" i="17"/>
  <c r="F182" i="17"/>
  <c r="E182" i="17"/>
  <c r="C182" i="17"/>
  <c r="B182" i="17"/>
  <c r="P181" i="17"/>
  <c r="O181" i="17"/>
  <c r="N181" i="17"/>
  <c r="M181" i="17"/>
  <c r="K181" i="17"/>
  <c r="J181" i="17"/>
  <c r="H181" i="17"/>
  <c r="G181" i="17"/>
  <c r="F181" i="17"/>
  <c r="E181" i="17"/>
  <c r="C181" i="17"/>
  <c r="B181" i="17"/>
  <c r="P180" i="17"/>
  <c r="O180" i="17"/>
  <c r="N180" i="17"/>
  <c r="M180" i="17"/>
  <c r="K180" i="17"/>
  <c r="J180" i="17"/>
  <c r="H180" i="17"/>
  <c r="G180" i="17"/>
  <c r="F180" i="17"/>
  <c r="E180" i="17"/>
  <c r="C180" i="17"/>
  <c r="B180" i="17"/>
  <c r="P179" i="17"/>
  <c r="O179" i="17"/>
  <c r="N179" i="17"/>
  <c r="M179" i="17"/>
  <c r="K179" i="17"/>
  <c r="J179" i="17"/>
  <c r="H179" i="17"/>
  <c r="G179" i="17"/>
  <c r="F179" i="17"/>
  <c r="E179" i="17"/>
  <c r="C179" i="17"/>
  <c r="B179" i="17"/>
  <c r="P177" i="17"/>
  <c r="O177" i="17"/>
  <c r="N177" i="17"/>
  <c r="M177" i="17"/>
  <c r="K177" i="17"/>
  <c r="J177" i="17"/>
  <c r="H177" i="17"/>
  <c r="G177" i="17"/>
  <c r="F177" i="17"/>
  <c r="E177" i="17"/>
  <c r="C177" i="17"/>
  <c r="B177" i="17"/>
  <c r="P176" i="17"/>
  <c r="O176" i="17"/>
  <c r="N176" i="17"/>
  <c r="M176" i="17"/>
  <c r="K176" i="17"/>
  <c r="J176" i="17"/>
  <c r="H176" i="17"/>
  <c r="G176" i="17"/>
  <c r="F176" i="17"/>
  <c r="E176" i="17"/>
  <c r="C176" i="17"/>
  <c r="B176" i="17"/>
  <c r="P175" i="17"/>
  <c r="O175" i="17"/>
  <c r="N175" i="17"/>
  <c r="M175" i="17"/>
  <c r="K175" i="17"/>
  <c r="J175" i="17"/>
  <c r="H175" i="17"/>
  <c r="G175" i="17"/>
  <c r="F175" i="17"/>
  <c r="E175" i="17"/>
  <c r="C175" i="17"/>
  <c r="B175" i="17"/>
  <c r="P174" i="17"/>
  <c r="O174" i="17"/>
  <c r="N174" i="17"/>
  <c r="M174" i="17"/>
  <c r="K174" i="17"/>
  <c r="J174" i="17"/>
  <c r="H174" i="17"/>
  <c r="G174" i="17"/>
  <c r="F174" i="17"/>
  <c r="E174" i="17"/>
  <c r="C174" i="17"/>
  <c r="B174" i="17"/>
  <c r="P172" i="17"/>
  <c r="O172" i="17"/>
  <c r="N172" i="17"/>
  <c r="M172" i="17"/>
  <c r="K172" i="17"/>
  <c r="J172" i="17"/>
  <c r="H172" i="17"/>
  <c r="G172" i="17"/>
  <c r="F172" i="17"/>
  <c r="E172" i="17"/>
  <c r="C172" i="17"/>
  <c r="B172" i="17"/>
  <c r="P171" i="17"/>
  <c r="O171" i="17"/>
  <c r="N171" i="17"/>
  <c r="M171" i="17"/>
  <c r="K171" i="17"/>
  <c r="J171" i="17"/>
  <c r="H171" i="17"/>
  <c r="G171" i="17"/>
  <c r="F171" i="17"/>
  <c r="E171" i="17"/>
  <c r="C171" i="17"/>
  <c r="B171" i="17"/>
  <c r="P170" i="17"/>
  <c r="O170" i="17"/>
  <c r="N170" i="17"/>
  <c r="M170" i="17"/>
  <c r="K170" i="17"/>
  <c r="J170" i="17"/>
  <c r="H170" i="17"/>
  <c r="G170" i="17"/>
  <c r="F170" i="17"/>
  <c r="E170" i="17"/>
  <c r="C170" i="17"/>
  <c r="B170" i="17"/>
  <c r="P169" i="17"/>
  <c r="O169" i="17"/>
  <c r="N169" i="17"/>
  <c r="M169" i="17"/>
  <c r="K169" i="17"/>
  <c r="J169" i="17"/>
  <c r="H169" i="17"/>
  <c r="G169" i="17"/>
  <c r="F169" i="17"/>
  <c r="E169" i="17"/>
  <c r="C169" i="17"/>
  <c r="B169" i="17"/>
  <c r="P167" i="17"/>
  <c r="O167" i="17"/>
  <c r="N167" i="17"/>
  <c r="M167" i="17"/>
  <c r="K167" i="17"/>
  <c r="J167" i="17"/>
  <c r="H167" i="17"/>
  <c r="G167" i="17"/>
  <c r="F167" i="17"/>
  <c r="E167" i="17"/>
  <c r="C167" i="17"/>
  <c r="B167" i="17"/>
  <c r="P166" i="17"/>
  <c r="O166" i="17"/>
  <c r="N166" i="17"/>
  <c r="M166" i="17"/>
  <c r="K166" i="17"/>
  <c r="J166" i="17"/>
  <c r="H166" i="17"/>
  <c r="G166" i="17"/>
  <c r="F166" i="17"/>
  <c r="E166" i="17"/>
  <c r="C166" i="17"/>
  <c r="B166" i="17"/>
  <c r="P165" i="17"/>
  <c r="O165" i="17"/>
  <c r="N165" i="17"/>
  <c r="M165" i="17"/>
  <c r="K165" i="17"/>
  <c r="J165" i="17"/>
  <c r="H165" i="17"/>
  <c r="G165" i="17"/>
  <c r="F165" i="17"/>
  <c r="E165" i="17"/>
  <c r="C165" i="17"/>
  <c r="B165" i="17"/>
  <c r="P164" i="17"/>
  <c r="O164" i="17"/>
  <c r="N164" i="17"/>
  <c r="M164" i="17"/>
  <c r="K164" i="17"/>
  <c r="J164" i="17"/>
  <c r="H164" i="17"/>
  <c r="G164" i="17"/>
  <c r="F164" i="17"/>
  <c r="E164" i="17"/>
  <c r="C164" i="17"/>
  <c r="B164" i="17"/>
  <c r="P151" i="17"/>
  <c r="O151" i="17"/>
  <c r="N151" i="17"/>
  <c r="M151" i="17"/>
  <c r="K151" i="17"/>
  <c r="J151" i="17"/>
  <c r="H151" i="17"/>
  <c r="G151" i="17"/>
  <c r="F151" i="17"/>
  <c r="E151" i="17"/>
  <c r="C151" i="17"/>
  <c r="B151" i="17"/>
  <c r="P150" i="17"/>
  <c r="O150" i="17"/>
  <c r="N150" i="17"/>
  <c r="M150" i="17"/>
  <c r="K150" i="17"/>
  <c r="J150" i="17"/>
  <c r="H150" i="17"/>
  <c r="G150" i="17"/>
  <c r="F150" i="17"/>
  <c r="E150" i="17"/>
  <c r="C150" i="17"/>
  <c r="B150" i="17"/>
  <c r="P149" i="17"/>
  <c r="O149" i="17"/>
  <c r="N149" i="17"/>
  <c r="M149" i="17"/>
  <c r="K149" i="17"/>
  <c r="J149" i="17"/>
  <c r="H149" i="17"/>
  <c r="G149" i="17"/>
  <c r="F149" i="17"/>
  <c r="E149" i="17"/>
  <c r="C149" i="17"/>
  <c r="B149" i="17"/>
  <c r="P148" i="17"/>
  <c r="O148" i="17"/>
  <c r="N148" i="17"/>
  <c r="M148" i="17"/>
  <c r="K148" i="17"/>
  <c r="J148" i="17"/>
  <c r="H148" i="17"/>
  <c r="G148" i="17"/>
  <c r="F148" i="17"/>
  <c r="E148" i="17"/>
  <c r="C148" i="17"/>
  <c r="B148" i="17"/>
  <c r="P146" i="17"/>
  <c r="O146" i="17"/>
  <c r="N146" i="17"/>
  <c r="M146" i="17"/>
  <c r="K146" i="17"/>
  <c r="J146" i="17"/>
  <c r="H146" i="17"/>
  <c r="G146" i="17"/>
  <c r="F146" i="17"/>
  <c r="E146" i="17"/>
  <c r="C146" i="17"/>
  <c r="B146" i="17"/>
  <c r="P145" i="17"/>
  <c r="O145" i="17"/>
  <c r="N145" i="17"/>
  <c r="M145" i="17"/>
  <c r="K145" i="17"/>
  <c r="J145" i="17"/>
  <c r="H145" i="17"/>
  <c r="G145" i="17"/>
  <c r="F145" i="17"/>
  <c r="E145" i="17"/>
  <c r="C145" i="17"/>
  <c r="B145" i="17"/>
  <c r="P144" i="17"/>
  <c r="O144" i="17"/>
  <c r="N144" i="17"/>
  <c r="M144" i="17"/>
  <c r="K144" i="17"/>
  <c r="J144" i="17"/>
  <c r="H144" i="17"/>
  <c r="G144" i="17"/>
  <c r="F144" i="17"/>
  <c r="E144" i="17"/>
  <c r="C144" i="17"/>
  <c r="B144" i="17"/>
  <c r="P143" i="17"/>
  <c r="O143" i="17"/>
  <c r="N143" i="17"/>
  <c r="M143" i="17"/>
  <c r="K143" i="17"/>
  <c r="J143" i="17"/>
  <c r="H143" i="17"/>
  <c r="G143" i="17"/>
  <c r="F143" i="17"/>
  <c r="E143" i="17"/>
  <c r="C143" i="17"/>
  <c r="B143" i="17"/>
  <c r="P141" i="17"/>
  <c r="O141" i="17"/>
  <c r="N141" i="17"/>
  <c r="M141" i="17"/>
  <c r="K141" i="17"/>
  <c r="J141" i="17"/>
  <c r="H141" i="17"/>
  <c r="G141" i="17"/>
  <c r="F141" i="17"/>
  <c r="E141" i="17"/>
  <c r="C141" i="17"/>
  <c r="B141" i="17"/>
  <c r="P140" i="17"/>
  <c r="O140" i="17"/>
  <c r="N140" i="17"/>
  <c r="M140" i="17"/>
  <c r="K140" i="17"/>
  <c r="J140" i="17"/>
  <c r="H140" i="17"/>
  <c r="G140" i="17"/>
  <c r="F140" i="17"/>
  <c r="E140" i="17"/>
  <c r="C140" i="17"/>
  <c r="B140" i="17"/>
  <c r="P139" i="17"/>
  <c r="O139" i="17"/>
  <c r="N139" i="17"/>
  <c r="M139" i="17"/>
  <c r="K139" i="17"/>
  <c r="J139" i="17"/>
  <c r="H139" i="17"/>
  <c r="G139" i="17"/>
  <c r="F139" i="17"/>
  <c r="E139" i="17"/>
  <c r="C139" i="17"/>
  <c r="B139" i="17"/>
  <c r="P138" i="17"/>
  <c r="O138" i="17"/>
  <c r="N138" i="17"/>
  <c r="M138" i="17"/>
  <c r="K138" i="17"/>
  <c r="J138" i="17"/>
  <c r="H138" i="17"/>
  <c r="G138" i="17"/>
  <c r="F138" i="17"/>
  <c r="E138" i="17"/>
  <c r="C138" i="17"/>
  <c r="B138" i="17"/>
  <c r="P136" i="17"/>
  <c r="O136" i="17"/>
  <c r="N136" i="17"/>
  <c r="M136" i="17"/>
  <c r="K136" i="17"/>
  <c r="J136" i="17"/>
  <c r="H136" i="17"/>
  <c r="G136" i="17"/>
  <c r="F136" i="17"/>
  <c r="E136" i="17"/>
  <c r="C136" i="17"/>
  <c r="B136" i="17"/>
  <c r="P135" i="17"/>
  <c r="O135" i="17"/>
  <c r="N135" i="17"/>
  <c r="M135" i="17"/>
  <c r="K135" i="17"/>
  <c r="J135" i="17"/>
  <c r="H135" i="17"/>
  <c r="G135" i="17"/>
  <c r="F135" i="17"/>
  <c r="E135" i="17"/>
  <c r="C135" i="17"/>
  <c r="B135" i="17"/>
  <c r="P134" i="17"/>
  <c r="O134" i="17"/>
  <c r="N134" i="17"/>
  <c r="M134" i="17"/>
  <c r="K134" i="17"/>
  <c r="J134" i="17"/>
  <c r="H134" i="17"/>
  <c r="G134" i="17"/>
  <c r="F134" i="17"/>
  <c r="E134" i="17"/>
  <c r="C134" i="17"/>
  <c r="B134" i="17"/>
  <c r="P133" i="17"/>
  <c r="O133" i="17"/>
  <c r="N133" i="17"/>
  <c r="M133" i="17"/>
  <c r="K133" i="17"/>
  <c r="J133" i="17"/>
  <c r="H133" i="17"/>
  <c r="G133" i="17"/>
  <c r="F133" i="17"/>
  <c r="E133" i="17"/>
  <c r="C133" i="17"/>
  <c r="B133" i="17"/>
  <c r="P120" i="17"/>
  <c r="O120" i="17"/>
  <c r="N120" i="17"/>
  <c r="M120" i="17"/>
  <c r="K120" i="17"/>
  <c r="J120" i="17"/>
  <c r="H120" i="17"/>
  <c r="G120" i="17"/>
  <c r="F120" i="17"/>
  <c r="E120" i="17"/>
  <c r="C120" i="17"/>
  <c r="B120" i="17"/>
  <c r="P119" i="17"/>
  <c r="O119" i="17"/>
  <c r="N119" i="17"/>
  <c r="M119" i="17"/>
  <c r="K119" i="17"/>
  <c r="J119" i="17"/>
  <c r="H119" i="17"/>
  <c r="G119" i="17"/>
  <c r="F119" i="17"/>
  <c r="E119" i="17"/>
  <c r="C119" i="17"/>
  <c r="B119" i="17"/>
  <c r="P118" i="17"/>
  <c r="O118" i="17"/>
  <c r="N118" i="17"/>
  <c r="M118" i="17"/>
  <c r="K118" i="17"/>
  <c r="J118" i="17"/>
  <c r="H118" i="17"/>
  <c r="G118" i="17"/>
  <c r="F118" i="17"/>
  <c r="E118" i="17"/>
  <c r="C118" i="17"/>
  <c r="B118" i="17"/>
  <c r="P117" i="17"/>
  <c r="O117" i="17"/>
  <c r="N117" i="17"/>
  <c r="M117" i="17"/>
  <c r="K117" i="17"/>
  <c r="J117" i="17"/>
  <c r="H117" i="17"/>
  <c r="G117" i="17"/>
  <c r="F117" i="17"/>
  <c r="E117" i="17"/>
  <c r="C117" i="17"/>
  <c r="B117" i="17"/>
  <c r="P115" i="17"/>
  <c r="O115" i="17"/>
  <c r="N115" i="17"/>
  <c r="M115" i="17"/>
  <c r="K115" i="17"/>
  <c r="J115" i="17"/>
  <c r="H115" i="17"/>
  <c r="G115" i="17"/>
  <c r="F115" i="17"/>
  <c r="E115" i="17"/>
  <c r="C115" i="17"/>
  <c r="B115" i="17"/>
  <c r="P114" i="17"/>
  <c r="O114" i="17"/>
  <c r="N114" i="17"/>
  <c r="M114" i="17"/>
  <c r="K114" i="17"/>
  <c r="J114" i="17"/>
  <c r="H114" i="17"/>
  <c r="G114" i="17"/>
  <c r="F114" i="17"/>
  <c r="E114" i="17"/>
  <c r="C114" i="17"/>
  <c r="B114" i="17"/>
  <c r="P113" i="17"/>
  <c r="O113" i="17"/>
  <c r="N113" i="17"/>
  <c r="M113" i="17"/>
  <c r="K113" i="17"/>
  <c r="J113" i="17"/>
  <c r="H113" i="17"/>
  <c r="G113" i="17"/>
  <c r="F113" i="17"/>
  <c r="E113" i="17"/>
  <c r="C113" i="17"/>
  <c r="B113" i="17"/>
  <c r="P112" i="17"/>
  <c r="O112" i="17"/>
  <c r="N112" i="17"/>
  <c r="M112" i="17"/>
  <c r="K112" i="17"/>
  <c r="J112" i="17"/>
  <c r="H112" i="17"/>
  <c r="G112" i="17"/>
  <c r="F112" i="17"/>
  <c r="E112" i="17"/>
  <c r="C112" i="17"/>
  <c r="B112" i="17"/>
  <c r="P110" i="17"/>
  <c r="O110" i="17"/>
  <c r="N110" i="17"/>
  <c r="M110" i="17"/>
  <c r="K110" i="17"/>
  <c r="J110" i="17"/>
  <c r="H110" i="17"/>
  <c r="G110" i="17"/>
  <c r="F110" i="17"/>
  <c r="E110" i="17"/>
  <c r="C110" i="17"/>
  <c r="B110" i="17"/>
  <c r="P109" i="17"/>
  <c r="O109" i="17"/>
  <c r="N109" i="17"/>
  <c r="M109" i="17"/>
  <c r="K109" i="17"/>
  <c r="J109" i="17"/>
  <c r="H109" i="17"/>
  <c r="G109" i="17"/>
  <c r="F109" i="17"/>
  <c r="E109" i="17"/>
  <c r="C109" i="17"/>
  <c r="B109" i="17"/>
  <c r="P108" i="17"/>
  <c r="O108" i="17"/>
  <c r="N108" i="17"/>
  <c r="M108" i="17"/>
  <c r="K108" i="17"/>
  <c r="J108" i="17"/>
  <c r="H108" i="17"/>
  <c r="G108" i="17"/>
  <c r="F108" i="17"/>
  <c r="E108" i="17"/>
  <c r="C108" i="17"/>
  <c r="B108" i="17"/>
  <c r="P107" i="17"/>
  <c r="O107" i="17"/>
  <c r="N107" i="17"/>
  <c r="M107" i="17"/>
  <c r="K107" i="17"/>
  <c r="J107" i="17"/>
  <c r="H107" i="17"/>
  <c r="G107" i="17"/>
  <c r="F107" i="17"/>
  <c r="E107" i="17"/>
  <c r="C107" i="17"/>
  <c r="B107" i="17"/>
  <c r="P105" i="17"/>
  <c r="O105" i="17"/>
  <c r="N105" i="17"/>
  <c r="M105" i="17"/>
  <c r="K105" i="17"/>
  <c r="J105" i="17"/>
  <c r="H105" i="17"/>
  <c r="G105" i="17"/>
  <c r="F105" i="17"/>
  <c r="E105" i="17"/>
  <c r="C105" i="17"/>
  <c r="B105" i="17"/>
  <c r="P104" i="17"/>
  <c r="O104" i="17"/>
  <c r="N104" i="17"/>
  <c r="M104" i="17"/>
  <c r="K104" i="17"/>
  <c r="J104" i="17"/>
  <c r="H104" i="17"/>
  <c r="G104" i="17"/>
  <c r="F104" i="17"/>
  <c r="E104" i="17"/>
  <c r="C104" i="17"/>
  <c r="B104" i="17"/>
  <c r="P103" i="17"/>
  <c r="O103" i="17"/>
  <c r="N103" i="17"/>
  <c r="M103" i="17"/>
  <c r="K103" i="17"/>
  <c r="J103" i="17"/>
  <c r="H103" i="17"/>
  <c r="G103" i="17"/>
  <c r="F103" i="17"/>
  <c r="E103" i="17"/>
  <c r="C103" i="17"/>
  <c r="B103" i="17"/>
  <c r="P102" i="17"/>
  <c r="O102" i="17"/>
  <c r="N102" i="17"/>
  <c r="M102" i="17"/>
  <c r="K102" i="17"/>
  <c r="J102" i="17"/>
  <c r="H102" i="17"/>
  <c r="G102" i="17"/>
  <c r="F102" i="17"/>
  <c r="E102" i="17"/>
  <c r="C102" i="17"/>
  <c r="B102" i="17"/>
  <c r="P90" i="17"/>
  <c r="O90" i="17"/>
  <c r="N90" i="17"/>
  <c r="M90" i="17"/>
  <c r="K90" i="17"/>
  <c r="J90" i="17"/>
  <c r="H90" i="17"/>
  <c r="G90" i="17"/>
  <c r="F90" i="17"/>
  <c r="E90" i="17"/>
  <c r="C90" i="17"/>
  <c r="B90" i="17"/>
  <c r="P89" i="17"/>
  <c r="O89" i="17"/>
  <c r="N89" i="17"/>
  <c r="M89" i="17"/>
  <c r="K89" i="17"/>
  <c r="J89" i="17"/>
  <c r="H89" i="17"/>
  <c r="G89" i="17"/>
  <c r="F89" i="17"/>
  <c r="E89" i="17"/>
  <c r="C89" i="17"/>
  <c r="B89" i="17"/>
  <c r="P88" i="17"/>
  <c r="O88" i="17"/>
  <c r="N88" i="17"/>
  <c r="M88" i="17"/>
  <c r="K88" i="17"/>
  <c r="J88" i="17"/>
  <c r="H88" i="17"/>
  <c r="G88" i="17"/>
  <c r="F88" i="17"/>
  <c r="E88" i="17"/>
  <c r="C88" i="17"/>
  <c r="B88" i="17"/>
  <c r="P87" i="17"/>
  <c r="O87" i="17"/>
  <c r="N87" i="17"/>
  <c r="M87" i="17"/>
  <c r="K87" i="17"/>
  <c r="J87" i="17"/>
  <c r="H87" i="17"/>
  <c r="G87" i="17"/>
  <c r="F87" i="17"/>
  <c r="E87" i="17"/>
  <c r="C87" i="17"/>
  <c r="B87" i="17"/>
  <c r="P85" i="17"/>
  <c r="O85" i="17"/>
  <c r="N85" i="17"/>
  <c r="M85" i="17"/>
  <c r="K85" i="17"/>
  <c r="J85" i="17"/>
  <c r="H85" i="17"/>
  <c r="G85" i="17"/>
  <c r="F85" i="17"/>
  <c r="E85" i="17"/>
  <c r="C85" i="17"/>
  <c r="B85" i="17"/>
  <c r="P84" i="17"/>
  <c r="O84" i="17"/>
  <c r="N84" i="17"/>
  <c r="M84" i="17"/>
  <c r="K84" i="17"/>
  <c r="J84" i="17"/>
  <c r="H84" i="17"/>
  <c r="G84" i="17"/>
  <c r="F84" i="17"/>
  <c r="E84" i="17"/>
  <c r="C84" i="17"/>
  <c r="B84" i="17"/>
  <c r="P83" i="17"/>
  <c r="O83" i="17"/>
  <c r="N83" i="17"/>
  <c r="M83" i="17"/>
  <c r="K83" i="17"/>
  <c r="J83" i="17"/>
  <c r="H83" i="17"/>
  <c r="G83" i="17"/>
  <c r="F83" i="17"/>
  <c r="E83" i="17"/>
  <c r="C83" i="17"/>
  <c r="B83" i="17"/>
  <c r="P82" i="17"/>
  <c r="O82" i="17"/>
  <c r="N82" i="17"/>
  <c r="M82" i="17"/>
  <c r="K82" i="17"/>
  <c r="J82" i="17"/>
  <c r="H82" i="17"/>
  <c r="G82" i="17"/>
  <c r="F82" i="17"/>
  <c r="E82" i="17"/>
  <c r="C82" i="17"/>
  <c r="B82" i="17"/>
  <c r="P80" i="17"/>
  <c r="O80" i="17"/>
  <c r="N80" i="17"/>
  <c r="M80" i="17"/>
  <c r="K80" i="17"/>
  <c r="J80" i="17"/>
  <c r="H80" i="17"/>
  <c r="G80" i="17"/>
  <c r="F80" i="17"/>
  <c r="E80" i="17"/>
  <c r="C80" i="17"/>
  <c r="B80" i="17"/>
  <c r="P79" i="17"/>
  <c r="O79" i="17"/>
  <c r="N79" i="17"/>
  <c r="M79" i="17"/>
  <c r="K79" i="17"/>
  <c r="J79" i="17"/>
  <c r="H79" i="17"/>
  <c r="G79" i="17"/>
  <c r="F79" i="17"/>
  <c r="E79" i="17"/>
  <c r="C79" i="17"/>
  <c r="B79" i="17"/>
  <c r="P78" i="17"/>
  <c r="O78" i="17"/>
  <c r="N78" i="17"/>
  <c r="M78" i="17"/>
  <c r="K78" i="17"/>
  <c r="J78" i="17"/>
  <c r="H78" i="17"/>
  <c r="G78" i="17"/>
  <c r="F78" i="17"/>
  <c r="E78" i="17"/>
  <c r="C78" i="17"/>
  <c r="B78" i="17"/>
  <c r="P77" i="17"/>
  <c r="O77" i="17"/>
  <c r="N77" i="17"/>
  <c r="M77" i="17"/>
  <c r="K77" i="17"/>
  <c r="J77" i="17"/>
  <c r="H77" i="17"/>
  <c r="G77" i="17"/>
  <c r="F77" i="17"/>
  <c r="E77" i="17"/>
  <c r="C77" i="17"/>
  <c r="B77" i="17"/>
  <c r="P75" i="17"/>
  <c r="O75" i="17"/>
  <c r="N75" i="17"/>
  <c r="M75" i="17"/>
  <c r="K75" i="17"/>
  <c r="J75" i="17"/>
  <c r="H75" i="17"/>
  <c r="G75" i="17"/>
  <c r="F75" i="17"/>
  <c r="E75" i="17"/>
  <c r="C75" i="17"/>
  <c r="B75" i="17"/>
  <c r="P74" i="17"/>
  <c r="O74" i="17"/>
  <c r="N74" i="17"/>
  <c r="M74" i="17"/>
  <c r="K74" i="17"/>
  <c r="J74" i="17"/>
  <c r="H74" i="17"/>
  <c r="G74" i="17"/>
  <c r="F74" i="17"/>
  <c r="E74" i="17"/>
  <c r="C74" i="17"/>
  <c r="B74" i="17"/>
  <c r="P73" i="17"/>
  <c r="O73" i="17"/>
  <c r="N73" i="17"/>
  <c r="M73" i="17"/>
  <c r="K73" i="17"/>
  <c r="J73" i="17"/>
  <c r="H73" i="17"/>
  <c r="G73" i="17"/>
  <c r="F73" i="17"/>
  <c r="E73" i="17"/>
  <c r="C73" i="17"/>
  <c r="B73" i="17"/>
  <c r="P72" i="17"/>
  <c r="O72" i="17"/>
  <c r="N72" i="17"/>
  <c r="M72" i="17"/>
  <c r="K72" i="17"/>
  <c r="J72" i="17"/>
  <c r="H72" i="17"/>
  <c r="G72" i="17"/>
  <c r="F72" i="17"/>
  <c r="E72" i="17"/>
  <c r="C72" i="17"/>
  <c r="B72" i="17"/>
  <c r="P59" i="17"/>
  <c r="O59" i="17"/>
  <c r="N59" i="17"/>
  <c r="M59" i="17"/>
  <c r="K59" i="17"/>
  <c r="J59" i="17"/>
  <c r="H59" i="17"/>
  <c r="G59" i="17"/>
  <c r="F59" i="17"/>
  <c r="E59" i="17"/>
  <c r="C59" i="17"/>
  <c r="B59" i="17"/>
  <c r="P58" i="17"/>
  <c r="O58" i="17"/>
  <c r="N58" i="17"/>
  <c r="M58" i="17"/>
  <c r="K58" i="17"/>
  <c r="J58" i="17"/>
  <c r="H58" i="17"/>
  <c r="G58" i="17"/>
  <c r="F58" i="17"/>
  <c r="E58" i="17"/>
  <c r="C58" i="17"/>
  <c r="B58" i="17"/>
  <c r="P57" i="17"/>
  <c r="O57" i="17"/>
  <c r="N57" i="17"/>
  <c r="M57" i="17"/>
  <c r="K57" i="17"/>
  <c r="J57" i="17"/>
  <c r="H57" i="17"/>
  <c r="G57" i="17"/>
  <c r="F57" i="17"/>
  <c r="E57" i="17"/>
  <c r="C57" i="17"/>
  <c r="B57" i="17"/>
  <c r="P56" i="17"/>
  <c r="O56" i="17"/>
  <c r="N56" i="17"/>
  <c r="M56" i="17"/>
  <c r="K56" i="17"/>
  <c r="J56" i="17"/>
  <c r="H56" i="17"/>
  <c r="G56" i="17"/>
  <c r="F56" i="17"/>
  <c r="E56" i="17"/>
  <c r="C56" i="17"/>
  <c r="B56" i="17"/>
  <c r="P54" i="17"/>
  <c r="O54" i="17"/>
  <c r="N54" i="17"/>
  <c r="M54" i="17"/>
  <c r="K54" i="17"/>
  <c r="J54" i="17"/>
  <c r="H54" i="17"/>
  <c r="G54" i="17"/>
  <c r="F54" i="17"/>
  <c r="E54" i="17"/>
  <c r="C54" i="17"/>
  <c r="B54" i="17"/>
  <c r="P53" i="17"/>
  <c r="O53" i="17"/>
  <c r="N53" i="17"/>
  <c r="M53" i="17"/>
  <c r="K53" i="17"/>
  <c r="J53" i="17"/>
  <c r="H53" i="17"/>
  <c r="G53" i="17"/>
  <c r="F53" i="17"/>
  <c r="E53" i="17"/>
  <c r="C53" i="17"/>
  <c r="B53" i="17"/>
  <c r="P52" i="17"/>
  <c r="O52" i="17"/>
  <c r="N52" i="17"/>
  <c r="M52" i="17"/>
  <c r="K52" i="17"/>
  <c r="J52" i="17"/>
  <c r="H52" i="17"/>
  <c r="G52" i="17"/>
  <c r="F52" i="17"/>
  <c r="E52" i="17"/>
  <c r="C52" i="17"/>
  <c r="B52" i="17"/>
  <c r="P51" i="17"/>
  <c r="O51" i="17"/>
  <c r="N51" i="17"/>
  <c r="M51" i="17"/>
  <c r="K51" i="17"/>
  <c r="J51" i="17"/>
  <c r="H51" i="17"/>
  <c r="G51" i="17"/>
  <c r="F51" i="17"/>
  <c r="E51" i="17"/>
  <c r="C51" i="17"/>
  <c r="B51" i="17"/>
  <c r="P49" i="17"/>
  <c r="O49" i="17"/>
  <c r="N49" i="17"/>
  <c r="M49" i="17"/>
  <c r="K49" i="17"/>
  <c r="J49" i="17"/>
  <c r="H49" i="17"/>
  <c r="G49" i="17"/>
  <c r="F49" i="17"/>
  <c r="E49" i="17"/>
  <c r="C49" i="17"/>
  <c r="B49" i="17"/>
  <c r="P48" i="17"/>
  <c r="O48" i="17"/>
  <c r="N48" i="17"/>
  <c r="M48" i="17"/>
  <c r="K48" i="17"/>
  <c r="J48" i="17"/>
  <c r="H48" i="17"/>
  <c r="G48" i="17"/>
  <c r="F48" i="17"/>
  <c r="E48" i="17"/>
  <c r="C48" i="17"/>
  <c r="B48" i="17"/>
  <c r="P47" i="17"/>
  <c r="O47" i="17"/>
  <c r="N47" i="17"/>
  <c r="M47" i="17"/>
  <c r="K47" i="17"/>
  <c r="J47" i="17"/>
  <c r="H47" i="17"/>
  <c r="G47" i="17"/>
  <c r="F47" i="17"/>
  <c r="E47" i="17"/>
  <c r="C47" i="17"/>
  <c r="B47" i="17"/>
  <c r="P46" i="17"/>
  <c r="O46" i="17"/>
  <c r="N46" i="17"/>
  <c r="M46" i="17"/>
  <c r="K46" i="17"/>
  <c r="J46" i="17"/>
  <c r="H46" i="17"/>
  <c r="G46" i="17"/>
  <c r="F46" i="17"/>
  <c r="E46" i="17"/>
  <c r="C46" i="17"/>
  <c r="B46" i="17"/>
  <c r="P44" i="17"/>
  <c r="O44" i="17"/>
  <c r="N44" i="17"/>
  <c r="M44" i="17"/>
  <c r="K44" i="17"/>
  <c r="J44" i="17"/>
  <c r="H44" i="17"/>
  <c r="G44" i="17"/>
  <c r="F44" i="17"/>
  <c r="E44" i="17"/>
  <c r="C44" i="17"/>
  <c r="B44" i="17"/>
  <c r="P43" i="17"/>
  <c r="O43" i="17"/>
  <c r="N43" i="17"/>
  <c r="M43" i="17"/>
  <c r="K43" i="17"/>
  <c r="J43" i="17"/>
  <c r="H43" i="17"/>
  <c r="G43" i="17"/>
  <c r="F43" i="17"/>
  <c r="E43" i="17"/>
  <c r="C43" i="17"/>
  <c r="B43" i="17"/>
  <c r="P42" i="17"/>
  <c r="O42" i="17"/>
  <c r="N42" i="17"/>
  <c r="M42" i="17"/>
  <c r="K42" i="17"/>
  <c r="J42" i="17"/>
  <c r="H42" i="17"/>
  <c r="G42" i="17"/>
  <c r="F42" i="17"/>
  <c r="E42" i="17"/>
  <c r="C42" i="17"/>
  <c r="B42" i="17"/>
  <c r="P41" i="17"/>
  <c r="O41" i="17"/>
  <c r="N41" i="17"/>
  <c r="M41" i="17"/>
  <c r="K41" i="17"/>
  <c r="J41" i="17"/>
  <c r="H41" i="17"/>
  <c r="G41" i="17"/>
  <c r="F41" i="17"/>
  <c r="E41" i="17"/>
  <c r="C41" i="17"/>
  <c r="B41" i="17"/>
  <c r="P27" i="17"/>
  <c r="O27" i="17"/>
  <c r="N27" i="17"/>
  <c r="M27" i="17"/>
  <c r="K27" i="17"/>
  <c r="J27" i="17"/>
  <c r="H27" i="17"/>
  <c r="G27" i="17"/>
  <c r="F27" i="17"/>
  <c r="E27" i="17"/>
  <c r="C27" i="17"/>
  <c r="B27" i="17"/>
  <c r="P26" i="17"/>
  <c r="O26" i="17"/>
  <c r="N26" i="17"/>
  <c r="M26" i="17"/>
  <c r="K26" i="17"/>
  <c r="J26" i="17"/>
  <c r="H26" i="17"/>
  <c r="G26" i="17"/>
  <c r="F26" i="17"/>
  <c r="E26" i="17"/>
  <c r="C26" i="17"/>
  <c r="B26" i="17"/>
  <c r="P25" i="17"/>
  <c r="O25" i="17"/>
  <c r="N25" i="17"/>
  <c r="M25" i="17"/>
  <c r="K25" i="17"/>
  <c r="J25" i="17"/>
  <c r="H25" i="17"/>
  <c r="G25" i="17"/>
  <c r="F25" i="17"/>
  <c r="E25" i="17"/>
  <c r="C25" i="17"/>
  <c r="B25" i="17"/>
  <c r="P24" i="17"/>
  <c r="O24" i="17"/>
  <c r="N24" i="17"/>
  <c r="M24" i="17"/>
  <c r="K24" i="17"/>
  <c r="J24" i="17"/>
  <c r="H24" i="17"/>
  <c r="G24" i="17"/>
  <c r="F24" i="17"/>
  <c r="E24" i="17"/>
  <c r="C24" i="17"/>
  <c r="B24" i="17"/>
  <c r="P22" i="17"/>
  <c r="O22" i="17"/>
  <c r="N22" i="17"/>
  <c r="M22" i="17"/>
  <c r="K22" i="17"/>
  <c r="J22" i="17"/>
  <c r="H22" i="17"/>
  <c r="G22" i="17"/>
  <c r="F22" i="17"/>
  <c r="E22" i="17"/>
  <c r="C22" i="17"/>
  <c r="B22" i="17"/>
  <c r="P21" i="17"/>
  <c r="O21" i="17"/>
  <c r="N21" i="17"/>
  <c r="M21" i="17"/>
  <c r="K21" i="17"/>
  <c r="J21" i="17"/>
  <c r="H21" i="17"/>
  <c r="G21" i="17"/>
  <c r="F21" i="17"/>
  <c r="E21" i="17"/>
  <c r="C21" i="17"/>
  <c r="B21" i="17"/>
  <c r="P20" i="17"/>
  <c r="O20" i="17"/>
  <c r="N20" i="17"/>
  <c r="M20" i="17"/>
  <c r="K20" i="17"/>
  <c r="J20" i="17"/>
  <c r="H20" i="17"/>
  <c r="G20" i="17"/>
  <c r="F20" i="17"/>
  <c r="E20" i="17"/>
  <c r="C20" i="17"/>
  <c r="B20" i="17"/>
  <c r="P19" i="17"/>
  <c r="O19" i="17"/>
  <c r="N19" i="17"/>
  <c r="M19" i="17"/>
  <c r="K19" i="17"/>
  <c r="J19" i="17"/>
  <c r="H19" i="17"/>
  <c r="G19" i="17"/>
  <c r="F19" i="17"/>
  <c r="E19" i="17"/>
  <c r="C19" i="17"/>
  <c r="B19" i="17"/>
  <c r="P17" i="17"/>
  <c r="O17" i="17"/>
  <c r="N17" i="17"/>
  <c r="M17" i="17"/>
  <c r="K17" i="17"/>
  <c r="J17" i="17"/>
  <c r="H17" i="17"/>
  <c r="G17" i="17"/>
  <c r="F17" i="17"/>
  <c r="E17" i="17"/>
  <c r="C17" i="17"/>
  <c r="B17" i="17"/>
  <c r="P16" i="17"/>
  <c r="O16" i="17"/>
  <c r="N16" i="17"/>
  <c r="M16" i="17"/>
  <c r="K16" i="17"/>
  <c r="J16" i="17"/>
  <c r="H16" i="17"/>
  <c r="G16" i="17"/>
  <c r="F16" i="17"/>
  <c r="E16" i="17"/>
  <c r="C16" i="17"/>
  <c r="B16" i="17"/>
  <c r="P15" i="17"/>
  <c r="O15" i="17"/>
  <c r="N15" i="17"/>
  <c r="M15" i="17"/>
  <c r="K15" i="17"/>
  <c r="J15" i="17"/>
  <c r="H70" i="19" s="1"/>
  <c r="H15" i="17"/>
  <c r="G15" i="17"/>
  <c r="F15" i="17"/>
  <c r="E15" i="17"/>
  <c r="C15" i="17"/>
  <c r="B15" i="17"/>
  <c r="P14" i="17"/>
  <c r="O14" i="17"/>
  <c r="N14" i="17"/>
  <c r="M14" i="17"/>
  <c r="K14" i="17"/>
  <c r="J14" i="17"/>
  <c r="H14" i="17"/>
  <c r="G14" i="17"/>
  <c r="F14" i="17"/>
  <c r="E14" i="17"/>
  <c r="C14" i="17"/>
  <c r="B14" i="17"/>
  <c r="P12" i="17"/>
  <c r="O12" i="17"/>
  <c r="N12" i="17"/>
  <c r="M12" i="17"/>
  <c r="K12" i="17"/>
  <c r="J12" i="17"/>
  <c r="H12" i="17"/>
  <c r="G12" i="17"/>
  <c r="F12" i="17"/>
  <c r="E12" i="17"/>
  <c r="C12" i="17"/>
  <c r="B12" i="17"/>
  <c r="P11" i="17"/>
  <c r="O11" i="17"/>
  <c r="N11" i="17"/>
  <c r="M11" i="17"/>
  <c r="K11" i="17"/>
  <c r="J11" i="17"/>
  <c r="H11" i="17"/>
  <c r="G11" i="17"/>
  <c r="F11" i="17"/>
  <c r="E11" i="17"/>
  <c r="C11" i="17"/>
  <c r="B11" i="17"/>
  <c r="P10" i="17"/>
  <c r="O10" i="17"/>
  <c r="N10" i="17"/>
  <c r="M10" i="17"/>
  <c r="K10" i="17"/>
  <c r="J10" i="17"/>
  <c r="H10" i="17"/>
  <c r="G10" i="17"/>
  <c r="F10" i="17"/>
  <c r="E10" i="17"/>
  <c r="C10" i="17"/>
  <c r="B10" i="17"/>
  <c r="P9" i="17"/>
  <c r="O9" i="17"/>
  <c r="N9" i="17"/>
  <c r="M9" i="17"/>
  <c r="K9" i="17"/>
  <c r="J9" i="17"/>
  <c r="H9" i="17"/>
  <c r="G9" i="17"/>
  <c r="F9" i="17"/>
  <c r="E9" i="17"/>
  <c r="C9" i="17"/>
  <c r="B9" i="17"/>
  <c r="Q454" i="17"/>
  <c r="Q449" i="17"/>
  <c r="Q444" i="17"/>
  <c r="Q439" i="17"/>
  <c r="Q438" i="17"/>
  <c r="Q437" i="17"/>
  <c r="Q436" i="17"/>
  <c r="Q435" i="17"/>
  <c r="Q434" i="17"/>
  <c r="Q433" i="17"/>
  <c r="Q432" i="17"/>
  <c r="Q431" i="17"/>
  <c r="Q430" i="17"/>
  <c r="Q429" i="17"/>
  <c r="Q424" i="17"/>
  <c r="Q419" i="17"/>
  <c r="Q414" i="17"/>
  <c r="Q409" i="17"/>
  <c r="Q408" i="17"/>
  <c r="Q407" i="17"/>
  <c r="Q406" i="17"/>
  <c r="Q405" i="17"/>
  <c r="Q404" i="17"/>
  <c r="Q403" i="17"/>
  <c r="Q402" i="17"/>
  <c r="Q401" i="17"/>
  <c r="Q400" i="17"/>
  <c r="Q399" i="17"/>
  <c r="Q394" i="17"/>
  <c r="Q389" i="17"/>
  <c r="Q384" i="17"/>
  <c r="Q379" i="17"/>
  <c r="Q378" i="17"/>
  <c r="Q377" i="17"/>
  <c r="Q376" i="17"/>
  <c r="Q375" i="17"/>
  <c r="Q374" i="17"/>
  <c r="Q373" i="17"/>
  <c r="Q372" i="17"/>
  <c r="Q371" i="17"/>
  <c r="Q370" i="17"/>
  <c r="Q369" i="17"/>
  <c r="Q368" i="17"/>
  <c r="Q363" i="17"/>
  <c r="Q358" i="17"/>
  <c r="Q353" i="17"/>
  <c r="Q348" i="17"/>
  <c r="Q347" i="17"/>
  <c r="Q346" i="17"/>
  <c r="Q345" i="17"/>
  <c r="Q344" i="17"/>
  <c r="Q343" i="17"/>
  <c r="Q342" i="17"/>
  <c r="Q341" i="17"/>
  <c r="Q340" i="17"/>
  <c r="Q338" i="17"/>
  <c r="Q337" i="17"/>
  <c r="Q332" i="17"/>
  <c r="Q327" i="17"/>
  <c r="Q322" i="17"/>
  <c r="Q317" i="17"/>
  <c r="Q316" i="17"/>
  <c r="Q315" i="17"/>
  <c r="Q314" i="17"/>
  <c r="Q313" i="17"/>
  <c r="Q312" i="17"/>
  <c r="Q311" i="17"/>
  <c r="Q310" i="17"/>
  <c r="Q309" i="17"/>
  <c r="Q308" i="17"/>
  <c r="Q307" i="17"/>
  <c r="Q306" i="17"/>
  <c r="Q301" i="17"/>
  <c r="Q296" i="17"/>
  <c r="Q291" i="17"/>
  <c r="Q286" i="17"/>
  <c r="Q285" i="17"/>
  <c r="Q284" i="17"/>
  <c r="Q283" i="17"/>
  <c r="Q282" i="17"/>
  <c r="Q281" i="17"/>
  <c r="Q280" i="17"/>
  <c r="Q279" i="17"/>
  <c r="Q278" i="17"/>
  <c r="Q277" i="17"/>
  <c r="Q276" i="17"/>
  <c r="Q275" i="17"/>
  <c r="Q270" i="17"/>
  <c r="Q265" i="17"/>
  <c r="Q260" i="17"/>
  <c r="Q255" i="17"/>
  <c r="Q254" i="17"/>
  <c r="Q253" i="17"/>
  <c r="Q252" i="17"/>
  <c r="Q251" i="17"/>
  <c r="Q250" i="17"/>
  <c r="Q249" i="17"/>
  <c r="Q248" i="17"/>
  <c r="Q247" i="17"/>
  <c r="Q246" i="17"/>
  <c r="Q245" i="17"/>
  <c r="Q244" i="17"/>
  <c r="Q239" i="17"/>
  <c r="Q234" i="17"/>
  <c r="Q229" i="17"/>
  <c r="Q224" i="17"/>
  <c r="Q223" i="17"/>
  <c r="Q222" i="17"/>
  <c r="Q221" i="17"/>
  <c r="Q220" i="17"/>
  <c r="Q219" i="17"/>
  <c r="Q218" i="17"/>
  <c r="Q217" i="17"/>
  <c r="R216" i="17"/>
  <c r="Q216" i="17"/>
  <c r="R214" i="17"/>
  <c r="Q214" i="17"/>
  <c r="R213" i="17"/>
  <c r="Q213" i="17"/>
  <c r="R208" i="17"/>
  <c r="Q208" i="17"/>
  <c r="R203" i="17"/>
  <c r="Q203" i="17"/>
  <c r="R198" i="17"/>
  <c r="Q198" i="17"/>
  <c r="R178" i="17"/>
  <c r="Q178" i="17"/>
  <c r="R173" i="17"/>
  <c r="Q173" i="17"/>
  <c r="R168" i="17"/>
  <c r="Q168" i="17"/>
  <c r="R147" i="17"/>
  <c r="Q147" i="17"/>
  <c r="R142" i="17"/>
  <c r="Q142" i="17"/>
  <c r="R137" i="17"/>
  <c r="Q137" i="17"/>
  <c r="R116" i="17"/>
  <c r="Q116" i="17"/>
  <c r="R111" i="17"/>
  <c r="Q111" i="17"/>
  <c r="R106" i="17"/>
  <c r="Q106" i="17"/>
  <c r="R86" i="17"/>
  <c r="Q86" i="17"/>
  <c r="R81" i="17"/>
  <c r="Q81" i="17"/>
  <c r="R76" i="17"/>
  <c r="Q76" i="17"/>
  <c r="R55" i="17"/>
  <c r="Q55" i="17"/>
  <c r="R50" i="17"/>
  <c r="Q50" i="17"/>
  <c r="R45" i="17"/>
  <c r="Q45" i="17"/>
  <c r="R23" i="17"/>
  <c r="Q23" i="17"/>
  <c r="R18" i="17"/>
  <c r="Q18" i="17"/>
  <c r="R13" i="17"/>
  <c r="Q13" i="17"/>
  <c r="B18" i="19" l="1"/>
  <c r="B20" i="19"/>
  <c r="B23" i="19"/>
  <c r="B25" i="19"/>
  <c r="C8" i="19"/>
  <c r="C10" i="19"/>
  <c r="C13" i="19"/>
  <c r="C15" i="19"/>
  <c r="C18" i="19"/>
  <c r="D264" i="18"/>
  <c r="I43" i="20" s="1"/>
  <c r="D290" i="18"/>
  <c r="H7" i="20"/>
  <c r="H9" i="20"/>
  <c r="H12" i="20"/>
  <c r="H14" i="20"/>
  <c r="H17" i="20"/>
  <c r="H22" i="20"/>
  <c r="H24" i="20"/>
  <c r="B7" i="20"/>
  <c r="B9" i="20"/>
  <c r="B12" i="20"/>
  <c r="B17" i="20"/>
  <c r="B19" i="20"/>
  <c r="B24" i="20"/>
  <c r="C7" i="20"/>
  <c r="C12" i="20"/>
  <c r="C14" i="20"/>
  <c r="C19" i="20"/>
  <c r="C22" i="20"/>
  <c r="C24" i="20"/>
  <c r="D7" i="20"/>
  <c r="D12" i="20"/>
  <c r="D14" i="20"/>
  <c r="D19" i="20"/>
  <c r="D22" i="20"/>
  <c r="D24" i="20"/>
  <c r="E7" i="20"/>
  <c r="E9" i="20"/>
  <c r="E12" i="20"/>
  <c r="E17" i="20"/>
  <c r="E19" i="20"/>
  <c r="E22" i="20"/>
  <c r="E24" i="20"/>
  <c r="H77" i="20"/>
  <c r="D53" i="18"/>
  <c r="B47" i="20" s="1"/>
  <c r="D84" i="18"/>
  <c r="C47" i="20" s="1"/>
  <c r="K10" i="20"/>
  <c r="L15" i="20"/>
  <c r="D445" i="18"/>
  <c r="O40" i="20" s="1"/>
  <c r="H8" i="20"/>
  <c r="H25" i="20"/>
  <c r="B25" i="20"/>
  <c r="C15" i="20"/>
  <c r="D13" i="20"/>
  <c r="E8" i="20"/>
  <c r="E18" i="20"/>
  <c r="F10" i="20"/>
  <c r="F23" i="20"/>
  <c r="I9" i="20"/>
  <c r="J14" i="20"/>
  <c r="N24" i="20"/>
  <c r="O19" i="20"/>
  <c r="D331" i="17"/>
  <c r="K47" i="19" s="1"/>
  <c r="D362" i="17"/>
  <c r="L47" i="19" s="1"/>
  <c r="L205" i="17"/>
  <c r="G103" i="19" s="1"/>
  <c r="F67" i="19"/>
  <c r="L141" i="17"/>
  <c r="E100" i="19" s="1"/>
  <c r="D10" i="19"/>
  <c r="M8" i="20"/>
  <c r="L12" i="18"/>
  <c r="H97" i="20" s="1"/>
  <c r="L15" i="18"/>
  <c r="L20" i="18"/>
  <c r="H105" i="20" s="1"/>
  <c r="L25" i="18"/>
  <c r="H110" i="20" s="1"/>
  <c r="L49" i="18"/>
  <c r="B102" i="20" s="1"/>
  <c r="L57" i="18"/>
  <c r="B110" i="20" s="1"/>
  <c r="L103" i="18"/>
  <c r="D95" i="20" s="1"/>
  <c r="L115" i="18"/>
  <c r="D107" i="20" s="1"/>
  <c r="L136" i="18"/>
  <c r="E97" i="20" s="1"/>
  <c r="L139" i="18"/>
  <c r="L141" i="18"/>
  <c r="E102" i="20" s="1"/>
  <c r="L149" i="18"/>
  <c r="E110" i="20" s="1"/>
  <c r="L151" i="18"/>
  <c r="E112" i="20" s="1"/>
  <c r="L172" i="18"/>
  <c r="F102" i="20" s="1"/>
  <c r="L177" i="18"/>
  <c r="F107" i="20" s="1"/>
  <c r="L180" i="18"/>
  <c r="F110" i="20" s="1"/>
  <c r="L197" i="18"/>
  <c r="G97" i="20" s="1"/>
  <c r="L202" i="18"/>
  <c r="G102" i="20" s="1"/>
  <c r="L207" i="18"/>
  <c r="R207" i="18" s="1"/>
  <c r="L212" i="18"/>
  <c r="G112" i="20" s="1"/>
  <c r="D228" i="18"/>
  <c r="M38" i="20" s="1"/>
  <c r="D238" i="18"/>
  <c r="M48" i="20" s="1"/>
  <c r="D243" i="18"/>
  <c r="Q243" i="18" s="1"/>
  <c r="D259" i="18"/>
  <c r="I38" i="20" s="1"/>
  <c r="D295" i="18"/>
  <c r="J43" i="20" s="1"/>
  <c r="D321" i="18"/>
  <c r="K38" i="20" s="1"/>
  <c r="D326" i="18"/>
  <c r="K43" i="20" s="1"/>
  <c r="D352" i="18"/>
  <c r="L38" i="20" s="1"/>
  <c r="D367" i="18"/>
  <c r="L53" i="20" s="1"/>
  <c r="D383" i="18"/>
  <c r="P38" i="20" s="1"/>
  <c r="D398" i="18"/>
  <c r="P53" i="20" s="1"/>
  <c r="D413" i="18"/>
  <c r="Q413" i="18" s="1"/>
  <c r="D428" i="18"/>
  <c r="N53" i="20" s="1"/>
  <c r="M15" i="19"/>
  <c r="D15" i="19"/>
  <c r="D18" i="19"/>
  <c r="E8" i="19"/>
  <c r="E13" i="19"/>
  <c r="E18" i="19"/>
  <c r="E20" i="19"/>
  <c r="E23" i="19"/>
  <c r="F10" i="19"/>
  <c r="H64" i="19"/>
  <c r="H66" i="19"/>
  <c r="H69" i="19"/>
  <c r="H71" i="19"/>
  <c r="H74" i="19"/>
  <c r="H76" i="19"/>
  <c r="H79" i="19"/>
  <c r="H81" i="19"/>
  <c r="B64" i="19"/>
  <c r="B66" i="19"/>
  <c r="B69" i="19"/>
  <c r="B71" i="19"/>
  <c r="B74" i="19"/>
  <c r="B76" i="19"/>
  <c r="B79" i="19"/>
  <c r="B81" i="19"/>
  <c r="C64" i="19"/>
  <c r="C66" i="19"/>
  <c r="C69" i="19"/>
  <c r="C71" i="19"/>
  <c r="C74" i="19"/>
  <c r="C76" i="19"/>
  <c r="C79" i="19"/>
  <c r="C81" i="19"/>
  <c r="D64" i="19"/>
  <c r="D66" i="19"/>
  <c r="D69" i="19"/>
  <c r="D71" i="19"/>
  <c r="D74" i="19"/>
  <c r="D76" i="19"/>
  <c r="D79" i="19"/>
  <c r="D81" i="19"/>
  <c r="E64" i="19"/>
  <c r="E66" i="19"/>
  <c r="E69" i="19"/>
  <c r="E71" i="19"/>
  <c r="E74" i="19"/>
  <c r="E76" i="19"/>
  <c r="E79" i="19"/>
  <c r="E81" i="19"/>
  <c r="F64" i="19"/>
  <c r="F66" i="19"/>
  <c r="F69" i="19"/>
  <c r="F71" i="19"/>
  <c r="F74" i="19"/>
  <c r="F76" i="19"/>
  <c r="F79" i="19"/>
  <c r="F81" i="19"/>
  <c r="G64" i="19"/>
  <c r="G66" i="19"/>
  <c r="G69" i="19"/>
  <c r="G71" i="19"/>
  <c r="G74" i="19"/>
  <c r="G76" i="19"/>
  <c r="G79" i="19"/>
  <c r="G81" i="19"/>
  <c r="M8" i="19"/>
  <c r="M13" i="19"/>
  <c r="M18" i="19"/>
  <c r="M23" i="19"/>
  <c r="I8" i="19"/>
  <c r="I13" i="19"/>
  <c r="I18" i="19"/>
  <c r="I23" i="19"/>
  <c r="J8" i="19"/>
  <c r="J13" i="19"/>
  <c r="J18" i="19"/>
  <c r="J23" i="19"/>
  <c r="K8" i="19"/>
  <c r="K13" i="19"/>
  <c r="K18" i="19"/>
  <c r="K23" i="19"/>
  <c r="L8" i="19"/>
  <c r="D66" i="20"/>
  <c r="G71" i="20"/>
  <c r="D78" i="17"/>
  <c r="C40" i="19" s="1"/>
  <c r="L11" i="18"/>
  <c r="R11" i="18" s="1"/>
  <c r="L14" i="18"/>
  <c r="H99" i="20" s="1"/>
  <c r="L16" i="18"/>
  <c r="H101" i="20" s="1"/>
  <c r="L21" i="18"/>
  <c r="H106" i="20" s="1"/>
  <c r="L24" i="18"/>
  <c r="H109" i="20" s="1"/>
  <c r="L26" i="18"/>
  <c r="H111" i="20" s="1"/>
  <c r="L41" i="18"/>
  <c r="R41" i="18" s="1"/>
  <c r="L43" i="18"/>
  <c r="R43" i="18" s="1"/>
  <c r="L46" i="18"/>
  <c r="B99" i="20" s="1"/>
  <c r="L48" i="18"/>
  <c r="B101" i="20" s="1"/>
  <c r="L51" i="18"/>
  <c r="R51" i="18" s="1"/>
  <c r="L53" i="18"/>
  <c r="B106" i="20" s="1"/>
  <c r="L56" i="18"/>
  <c r="B109" i="20" s="1"/>
  <c r="L58" i="18"/>
  <c r="B111" i="20" s="1"/>
  <c r="L72" i="18"/>
  <c r="C94" i="20" s="1"/>
  <c r="L74" i="18"/>
  <c r="C96" i="20" s="1"/>
  <c r="L77" i="18"/>
  <c r="C99" i="20" s="1"/>
  <c r="L79" i="18"/>
  <c r="C101" i="20" s="1"/>
  <c r="L82" i="18"/>
  <c r="R82" i="18" s="1"/>
  <c r="L84" i="18"/>
  <c r="C106" i="20" s="1"/>
  <c r="L87" i="18"/>
  <c r="R87" i="18" s="1"/>
  <c r="L102" i="18"/>
  <c r="D94" i="20" s="1"/>
  <c r="L104" i="18"/>
  <c r="D96" i="20" s="1"/>
  <c r="L107" i="18"/>
  <c r="D99" i="20" s="1"/>
  <c r="L112" i="18"/>
  <c r="D104" i="20" s="1"/>
  <c r="L114" i="18"/>
  <c r="R114" i="18" s="1"/>
  <c r="L117" i="18"/>
  <c r="R117" i="18" s="1"/>
  <c r="L119" i="18"/>
  <c r="D111" i="20" s="1"/>
  <c r="L133" i="18"/>
  <c r="R133" i="18" s="1"/>
  <c r="L135" i="18"/>
  <c r="E96" i="20" s="1"/>
  <c r="L138" i="18"/>
  <c r="R138" i="18" s="1"/>
  <c r="L140" i="18"/>
  <c r="E101" i="20" s="1"/>
  <c r="L143" i="18"/>
  <c r="R143" i="18" s="1"/>
  <c r="L148" i="18"/>
  <c r="E109" i="20" s="1"/>
  <c r="L150" i="18"/>
  <c r="R150" i="18" s="1"/>
  <c r="H82" i="19"/>
  <c r="B75" i="19"/>
  <c r="M10" i="19"/>
  <c r="I15" i="19"/>
  <c r="D302" i="17"/>
  <c r="J49" i="19" s="1"/>
  <c r="L25" i="19"/>
  <c r="L57" i="17"/>
  <c r="B108" i="19" s="1"/>
  <c r="L59" i="17"/>
  <c r="B110" i="19" s="1"/>
  <c r="L85" i="17"/>
  <c r="C105" i="19" s="1"/>
  <c r="L105" i="17"/>
  <c r="D95" i="19" s="1"/>
  <c r="L110" i="17"/>
  <c r="D100" i="19" s="1"/>
  <c r="L134" i="17"/>
  <c r="E93" i="19" s="1"/>
  <c r="L136" i="17"/>
  <c r="E95" i="19" s="1"/>
  <c r="L146" i="17"/>
  <c r="E105" i="19" s="1"/>
  <c r="L151" i="17"/>
  <c r="R151" i="17" s="1"/>
  <c r="F23" i="19"/>
  <c r="L180" i="17"/>
  <c r="F108" i="19" s="1"/>
  <c r="L195" i="17"/>
  <c r="G93" i="19" s="1"/>
  <c r="L197" i="17"/>
  <c r="G95" i="19" s="1"/>
  <c r="G13" i="19"/>
  <c r="L202" i="17"/>
  <c r="R202" i="17" s="1"/>
  <c r="G18" i="19"/>
  <c r="M19" i="19"/>
  <c r="D238" i="17"/>
  <c r="M47" i="19" s="1"/>
  <c r="D243" i="17"/>
  <c r="Q243" i="17" s="1"/>
  <c r="J14" i="19"/>
  <c r="D295" i="17"/>
  <c r="J42" i="19" s="1"/>
  <c r="D305" i="17"/>
  <c r="J52" i="19" s="1"/>
  <c r="K9" i="19"/>
  <c r="K19" i="19"/>
  <c r="D352" i="17"/>
  <c r="L37" i="19" s="1"/>
  <c r="L19" i="19"/>
  <c r="D383" i="17"/>
  <c r="P37" i="19" s="1"/>
  <c r="P14" i="19"/>
  <c r="D393" i="17"/>
  <c r="P47" i="19" s="1"/>
  <c r="P24" i="19"/>
  <c r="N14" i="19"/>
  <c r="D418" i="17"/>
  <c r="N42" i="19" s="1"/>
  <c r="N19" i="19"/>
  <c r="D423" i="17"/>
  <c r="N47" i="19" s="1"/>
  <c r="O9" i="19"/>
  <c r="O24" i="19"/>
  <c r="P8" i="19"/>
  <c r="P13" i="19"/>
  <c r="N8" i="19"/>
  <c r="N18" i="19"/>
  <c r="O13" i="19"/>
  <c r="O18" i="19"/>
  <c r="B10" i="20"/>
  <c r="J24" i="20"/>
  <c r="D453" i="18"/>
  <c r="O48" i="20" s="1"/>
  <c r="F7" i="20"/>
  <c r="L164" i="18"/>
  <c r="R164" i="18" s="1"/>
  <c r="F9" i="20"/>
  <c r="L166" i="18"/>
  <c r="F96" i="20" s="1"/>
  <c r="L169" i="18"/>
  <c r="F99" i="20" s="1"/>
  <c r="F14" i="20"/>
  <c r="L171" i="18"/>
  <c r="R171" i="18" s="1"/>
  <c r="F17" i="20"/>
  <c r="L174" i="18"/>
  <c r="R174" i="18" s="1"/>
  <c r="F19" i="20"/>
  <c r="L176" i="18"/>
  <c r="F106" i="20" s="1"/>
  <c r="F22" i="20"/>
  <c r="L179" i="18"/>
  <c r="F109" i="20" s="1"/>
  <c r="L181" i="18"/>
  <c r="R181" i="18" s="1"/>
  <c r="G7" i="20"/>
  <c r="L194" i="18"/>
  <c r="G94" i="20" s="1"/>
  <c r="G9" i="20"/>
  <c r="L196" i="18"/>
  <c r="G96" i="20" s="1"/>
  <c r="L199" i="18"/>
  <c r="G99" i="20" s="1"/>
  <c r="G14" i="20"/>
  <c r="L201" i="18"/>
  <c r="G101" i="20" s="1"/>
  <c r="G17" i="20"/>
  <c r="L204" i="18"/>
  <c r="G104" i="20" s="1"/>
  <c r="G19" i="20"/>
  <c r="L206" i="18"/>
  <c r="G106" i="20" s="1"/>
  <c r="G22" i="20"/>
  <c r="L209" i="18"/>
  <c r="G109" i="20" s="1"/>
  <c r="G24" i="20"/>
  <c r="L211" i="18"/>
  <c r="G111" i="20" s="1"/>
  <c r="M7" i="20"/>
  <c r="D226" i="18"/>
  <c r="Q226" i="18" s="1"/>
  <c r="M12" i="20"/>
  <c r="D231" i="18"/>
  <c r="M41" i="20" s="1"/>
  <c r="M17" i="20"/>
  <c r="D236" i="18"/>
  <c r="Q236" i="18" s="1"/>
  <c r="M22" i="20"/>
  <c r="D241" i="18"/>
  <c r="M51" i="20" s="1"/>
  <c r="I7" i="20"/>
  <c r="D257" i="18"/>
  <c r="I36" i="20" s="1"/>
  <c r="I12" i="20"/>
  <c r="D262" i="18"/>
  <c r="I41" i="20" s="1"/>
  <c r="I17" i="20"/>
  <c r="D267" i="18"/>
  <c r="I46" i="20" s="1"/>
  <c r="I22" i="20"/>
  <c r="D272" i="18"/>
  <c r="I51" i="20" s="1"/>
  <c r="J7" i="20"/>
  <c r="D293" i="18"/>
  <c r="J41" i="20" s="1"/>
  <c r="D298" i="18"/>
  <c r="J46" i="20" s="1"/>
  <c r="J22" i="20"/>
  <c r="D303" i="18"/>
  <c r="J51" i="20" s="1"/>
  <c r="K7" i="20"/>
  <c r="D319" i="18"/>
  <c r="Q319" i="18" s="1"/>
  <c r="K12" i="20"/>
  <c r="K17" i="20"/>
  <c r="D329" i="18"/>
  <c r="Q329" i="18" s="1"/>
  <c r="K22" i="20"/>
  <c r="D334" i="18"/>
  <c r="K51" i="20" s="1"/>
  <c r="L7" i="20"/>
  <c r="D350" i="18"/>
  <c r="Q350" i="18" s="1"/>
  <c r="D355" i="18"/>
  <c r="L41" i="20" s="1"/>
  <c r="L17" i="20"/>
  <c r="D360" i="18"/>
  <c r="Q360" i="18" s="1"/>
  <c r="L22" i="20"/>
  <c r="P7" i="20"/>
  <c r="D381" i="18"/>
  <c r="P36" i="20" s="1"/>
  <c r="D386" i="18"/>
  <c r="P41" i="20" s="1"/>
  <c r="P17" i="20"/>
  <c r="D391" i="18"/>
  <c r="Q391" i="18" s="1"/>
  <c r="P22" i="20"/>
  <c r="D396" i="18"/>
  <c r="P51" i="20" s="1"/>
  <c r="N7" i="20"/>
  <c r="D411" i="18"/>
  <c r="N36" i="20" s="1"/>
  <c r="D416" i="18"/>
  <c r="N41" i="20" s="1"/>
  <c r="N17" i="20"/>
  <c r="D421" i="18"/>
  <c r="Q421" i="18" s="1"/>
  <c r="N22" i="20"/>
  <c r="D426" i="18"/>
  <c r="Q426" i="18" s="1"/>
  <c r="O7" i="20"/>
  <c r="O12" i="20"/>
  <c r="D446" i="18"/>
  <c r="Q446" i="18" s="1"/>
  <c r="O17" i="20"/>
  <c r="D451" i="18"/>
  <c r="O46" i="20" s="1"/>
  <c r="O22" i="20"/>
  <c r="D456" i="18"/>
  <c r="O51" i="20" s="1"/>
  <c r="D74" i="17"/>
  <c r="C36" i="19" s="1"/>
  <c r="D206" i="17"/>
  <c r="G46" i="19" s="1"/>
  <c r="D390" i="17"/>
  <c r="P44" i="19" s="1"/>
  <c r="D59" i="17"/>
  <c r="B52" i="19" s="1"/>
  <c r="D202" i="17"/>
  <c r="G42" i="19" s="1"/>
  <c r="D258" i="17"/>
  <c r="I36" i="19" s="1"/>
  <c r="D382" i="17"/>
  <c r="Q382" i="17" s="1"/>
  <c r="D82" i="17"/>
  <c r="C44" i="19" s="1"/>
  <c r="D266" i="17"/>
  <c r="I44" i="19" s="1"/>
  <c r="D43" i="17"/>
  <c r="B36" i="19" s="1"/>
  <c r="D79" i="17"/>
  <c r="C41" i="19" s="1"/>
  <c r="D145" i="17"/>
  <c r="E46" i="19" s="1"/>
  <c r="D181" i="17"/>
  <c r="F51" i="19" s="1"/>
  <c r="D415" i="17"/>
  <c r="N39" i="19" s="1"/>
  <c r="L46" i="17"/>
  <c r="B97" i="19" s="1"/>
  <c r="C14" i="19"/>
  <c r="F14" i="19"/>
  <c r="F24" i="19"/>
  <c r="G9" i="19"/>
  <c r="I12" i="19"/>
  <c r="K7" i="19"/>
  <c r="D350" i="17"/>
  <c r="L35" i="19" s="1"/>
  <c r="L12" i="19"/>
  <c r="L17" i="19"/>
  <c r="P7" i="19"/>
  <c r="N17" i="19"/>
  <c r="D119" i="17"/>
  <c r="D51" i="19" s="1"/>
  <c r="H65" i="19"/>
  <c r="H67" i="19"/>
  <c r="H72" i="19"/>
  <c r="H77" i="19"/>
  <c r="H80" i="19"/>
  <c r="D26" i="17"/>
  <c r="H51" i="19" s="1"/>
  <c r="B65" i="19"/>
  <c r="B67" i="19"/>
  <c r="B70" i="19"/>
  <c r="B72" i="19"/>
  <c r="B77" i="19"/>
  <c r="D56" i="17"/>
  <c r="B49" i="19" s="1"/>
  <c r="B80" i="19"/>
  <c r="B82" i="19"/>
  <c r="C65" i="19"/>
  <c r="C67" i="19"/>
  <c r="C70" i="19"/>
  <c r="C72" i="19"/>
  <c r="C75" i="19"/>
  <c r="C77" i="19"/>
  <c r="C80" i="19"/>
  <c r="D65" i="19"/>
  <c r="D70" i="19"/>
  <c r="D72" i="19"/>
  <c r="D75" i="19"/>
  <c r="D77" i="19"/>
  <c r="D80" i="19"/>
  <c r="D82" i="19"/>
  <c r="E65" i="19"/>
  <c r="E67" i="19"/>
  <c r="E72" i="19"/>
  <c r="E75" i="19"/>
  <c r="E77" i="19"/>
  <c r="E80" i="19"/>
  <c r="E82" i="19"/>
  <c r="F65" i="19"/>
  <c r="F70" i="19"/>
  <c r="F72" i="19"/>
  <c r="F77" i="19"/>
  <c r="F80" i="19"/>
  <c r="F82" i="19"/>
  <c r="G65" i="19"/>
  <c r="G67" i="19"/>
  <c r="G70" i="19"/>
  <c r="G72" i="19"/>
  <c r="G77" i="19"/>
  <c r="G82" i="19"/>
  <c r="M20" i="19"/>
  <c r="M25" i="19"/>
  <c r="I10" i="19"/>
  <c r="I20" i="19"/>
  <c r="I25" i="19"/>
  <c r="J15" i="19"/>
  <c r="J20" i="19"/>
  <c r="J25" i="19"/>
  <c r="K10" i="19"/>
  <c r="K15" i="19"/>
  <c r="K25" i="19"/>
  <c r="L15" i="19"/>
  <c r="L20" i="19"/>
  <c r="P15" i="19"/>
  <c r="P20" i="19"/>
  <c r="P25" i="19"/>
  <c r="N10" i="19"/>
  <c r="N15" i="19"/>
  <c r="N25" i="19"/>
  <c r="O15" i="19"/>
  <c r="O20" i="19"/>
  <c r="O25" i="19"/>
  <c r="J18" i="20"/>
  <c r="E100" i="20"/>
  <c r="R139" i="18"/>
  <c r="L20" i="17"/>
  <c r="H103" i="19" s="1"/>
  <c r="C23" i="19"/>
  <c r="L90" i="17"/>
  <c r="C110" i="19" s="1"/>
  <c r="L108" i="17"/>
  <c r="D98" i="19" s="1"/>
  <c r="L120" i="17"/>
  <c r="D110" i="19" s="1"/>
  <c r="L139" i="17"/>
  <c r="E98" i="19" s="1"/>
  <c r="L144" i="17"/>
  <c r="E103" i="19" s="1"/>
  <c r="F18" i="19"/>
  <c r="L177" i="17"/>
  <c r="R177" i="17" s="1"/>
  <c r="G15" i="19"/>
  <c r="L207" i="17"/>
  <c r="G105" i="19" s="1"/>
  <c r="M9" i="19"/>
  <c r="I9" i="19"/>
  <c r="D16" i="17"/>
  <c r="H41" i="19" s="1"/>
  <c r="D19" i="17"/>
  <c r="H44" i="19" s="1"/>
  <c r="D107" i="17"/>
  <c r="D39" i="19" s="1"/>
  <c r="H20" i="19"/>
  <c r="D8" i="19"/>
  <c r="L167" i="17"/>
  <c r="F95" i="19" s="1"/>
  <c r="L172" i="17"/>
  <c r="F100" i="19" s="1"/>
  <c r="L182" i="17"/>
  <c r="F110" i="19" s="1"/>
  <c r="G25" i="19"/>
  <c r="D228" i="17"/>
  <c r="M37" i="19" s="1"/>
  <c r="D233" i="17"/>
  <c r="M42" i="19" s="1"/>
  <c r="D259" i="17"/>
  <c r="I37" i="19" s="1"/>
  <c r="D264" i="17"/>
  <c r="I42" i="19" s="1"/>
  <c r="D321" i="17"/>
  <c r="K37" i="19" s="1"/>
  <c r="D357" i="17"/>
  <c r="L42" i="19" s="1"/>
  <c r="D367" i="17"/>
  <c r="Q367" i="17" s="1"/>
  <c r="N9" i="19"/>
  <c r="D428" i="17"/>
  <c r="N52" i="19" s="1"/>
  <c r="D443" i="17"/>
  <c r="O37" i="19" s="1"/>
  <c r="D448" i="17"/>
  <c r="Q448" i="17" s="1"/>
  <c r="N23" i="19"/>
  <c r="O23" i="19"/>
  <c r="H82" i="20"/>
  <c r="D48" i="18"/>
  <c r="B42" i="20" s="1"/>
  <c r="B74" i="20"/>
  <c r="D74" i="18"/>
  <c r="C37" i="20" s="1"/>
  <c r="D82" i="18"/>
  <c r="C45" i="20" s="1"/>
  <c r="D109" i="18"/>
  <c r="D42" i="20" s="1"/>
  <c r="D148" i="18"/>
  <c r="E50" i="20" s="1"/>
  <c r="F67" i="20"/>
  <c r="D169" i="18"/>
  <c r="F40" i="20" s="1"/>
  <c r="G79" i="20"/>
  <c r="D230" i="18"/>
  <c r="M40" i="20" s="1"/>
  <c r="D266" i="18"/>
  <c r="I45" i="20" s="1"/>
  <c r="J10" i="20"/>
  <c r="J15" i="20"/>
  <c r="D302" i="18"/>
  <c r="J50" i="20" s="1"/>
  <c r="K20" i="20"/>
  <c r="D333" i="18"/>
  <c r="K50" i="20" s="1"/>
  <c r="D349" i="18"/>
  <c r="L35" i="20" s="1"/>
  <c r="D390" i="18"/>
  <c r="P45" i="20" s="1"/>
  <c r="L17" i="17"/>
  <c r="H100" i="19" s="1"/>
  <c r="L27" i="17"/>
  <c r="H110" i="19" s="1"/>
  <c r="C20" i="19"/>
  <c r="L88" i="17"/>
  <c r="L103" i="17"/>
  <c r="D93" i="19" s="1"/>
  <c r="L115" i="17"/>
  <c r="D105" i="19" s="1"/>
  <c r="L175" i="17"/>
  <c r="F103" i="19" s="1"/>
  <c r="G20" i="19"/>
  <c r="L210" i="17"/>
  <c r="G108" i="19" s="1"/>
  <c r="L212" i="17"/>
  <c r="G110" i="19" s="1"/>
  <c r="I14" i="19"/>
  <c r="D269" i="17"/>
  <c r="I47" i="19" s="1"/>
  <c r="D290" i="17"/>
  <c r="D300" i="17"/>
  <c r="J47" i="19" s="1"/>
  <c r="D336" i="17"/>
  <c r="K52" i="19" s="1"/>
  <c r="L24" i="19"/>
  <c r="D388" i="17"/>
  <c r="Q388" i="17" s="1"/>
  <c r="D398" i="17"/>
  <c r="P52" i="19" s="1"/>
  <c r="D413" i="17"/>
  <c r="N37" i="19" s="1"/>
  <c r="N24" i="19"/>
  <c r="D453" i="17"/>
  <c r="O47" i="19" s="1"/>
  <c r="D458" i="17"/>
  <c r="O52" i="19" s="1"/>
  <c r="N13" i="19"/>
  <c r="H7" i="19"/>
  <c r="D12" i="17"/>
  <c r="H37" i="19" s="1"/>
  <c r="D15" i="17"/>
  <c r="H40" i="19" s="1"/>
  <c r="D17" i="17"/>
  <c r="H42" i="19" s="1"/>
  <c r="D20" i="17"/>
  <c r="Q20" i="17" s="1"/>
  <c r="D22" i="17"/>
  <c r="H47" i="19" s="1"/>
  <c r="H22" i="19"/>
  <c r="D25" i="17"/>
  <c r="H50" i="19" s="1"/>
  <c r="D42" i="17"/>
  <c r="B35" i="19" s="1"/>
  <c r="D47" i="17"/>
  <c r="B40" i="19" s="1"/>
  <c r="D49" i="17"/>
  <c r="B42" i="19" s="1"/>
  <c r="D52" i="17"/>
  <c r="B45" i="19" s="1"/>
  <c r="D54" i="17"/>
  <c r="B47" i="19" s="1"/>
  <c r="D57" i="17"/>
  <c r="B50" i="19" s="1"/>
  <c r="D73" i="17"/>
  <c r="C35" i="19" s="1"/>
  <c r="D75" i="17"/>
  <c r="C37" i="19" s="1"/>
  <c r="D80" i="17"/>
  <c r="C42" i="19" s="1"/>
  <c r="D83" i="17"/>
  <c r="Q83" i="17" s="1"/>
  <c r="D85" i="17"/>
  <c r="C47" i="19" s="1"/>
  <c r="H13" i="20"/>
  <c r="I14" i="20"/>
  <c r="J19" i="20"/>
  <c r="D88" i="17"/>
  <c r="C50" i="19" s="1"/>
  <c r="D90" i="17"/>
  <c r="C52" i="19" s="1"/>
  <c r="D103" i="17"/>
  <c r="D35" i="19" s="1"/>
  <c r="D108" i="17"/>
  <c r="Q108" i="17" s="1"/>
  <c r="D110" i="17"/>
  <c r="D42" i="19" s="1"/>
  <c r="D113" i="17"/>
  <c r="D45" i="19" s="1"/>
  <c r="D115" i="17"/>
  <c r="D47" i="19" s="1"/>
  <c r="D118" i="17"/>
  <c r="Q118" i="17" s="1"/>
  <c r="D24" i="19"/>
  <c r="D120" i="17"/>
  <c r="D52" i="19" s="1"/>
  <c r="D134" i="17"/>
  <c r="E35" i="19" s="1"/>
  <c r="D136" i="17"/>
  <c r="E37" i="19" s="1"/>
  <c r="D141" i="17"/>
  <c r="E42" i="19" s="1"/>
  <c r="D144" i="17"/>
  <c r="E45" i="19" s="1"/>
  <c r="D146" i="17"/>
  <c r="Q146" i="17" s="1"/>
  <c r="D165" i="17"/>
  <c r="F35" i="19" s="1"/>
  <c r="D170" i="17"/>
  <c r="F40" i="19" s="1"/>
  <c r="D172" i="17"/>
  <c r="F42" i="19" s="1"/>
  <c r="F17" i="19"/>
  <c r="D175" i="17"/>
  <c r="F45" i="19" s="1"/>
  <c r="D177" i="17"/>
  <c r="F47" i="19" s="1"/>
  <c r="D180" i="17"/>
  <c r="F50" i="19" s="1"/>
  <c r="D182" i="17"/>
  <c r="Q182" i="17" s="1"/>
  <c r="D195" i="17"/>
  <c r="D197" i="17"/>
  <c r="G37" i="19" s="1"/>
  <c r="D200" i="17"/>
  <c r="G40" i="19" s="1"/>
  <c r="D205" i="17"/>
  <c r="G45" i="19" s="1"/>
  <c r="D207" i="17"/>
  <c r="G47" i="19" s="1"/>
  <c r="D210" i="17"/>
  <c r="G50" i="19" s="1"/>
  <c r="D212" i="17"/>
  <c r="G52" i="19" s="1"/>
  <c r="D227" i="17"/>
  <c r="Q227" i="17" s="1"/>
  <c r="D232" i="17"/>
  <c r="D237" i="17"/>
  <c r="M46" i="19" s="1"/>
  <c r="D242" i="17"/>
  <c r="Q242" i="17" s="1"/>
  <c r="D268" i="17"/>
  <c r="I46" i="19" s="1"/>
  <c r="I22" i="19"/>
  <c r="D289" i="17"/>
  <c r="J36" i="19" s="1"/>
  <c r="D294" i="17"/>
  <c r="J41" i="19" s="1"/>
  <c r="D335" i="17"/>
  <c r="K51" i="19" s="1"/>
  <c r="D351" i="17"/>
  <c r="Q351" i="17" s="1"/>
  <c r="D356" i="17"/>
  <c r="L41" i="19" s="1"/>
  <c r="D366" i="17"/>
  <c r="Q366" i="17" s="1"/>
  <c r="D387" i="17"/>
  <c r="P41" i="19" s="1"/>
  <c r="D392" i="17"/>
  <c r="P46" i="19" s="1"/>
  <c r="D412" i="17"/>
  <c r="N36" i="19" s="1"/>
  <c r="D417" i="17"/>
  <c r="N41" i="19" s="1"/>
  <c r="D422" i="17"/>
  <c r="Q422" i="17" s="1"/>
  <c r="D427" i="17"/>
  <c r="D442" i="17"/>
  <c r="Q442" i="17" s="1"/>
  <c r="D447" i="17"/>
  <c r="Q447" i="17" s="1"/>
  <c r="D452" i="17"/>
  <c r="O46" i="19" s="1"/>
  <c r="D457" i="17"/>
  <c r="O51" i="19" s="1"/>
  <c r="D10" i="20"/>
  <c r="D20" i="20"/>
  <c r="D23" i="20"/>
  <c r="E15" i="20"/>
  <c r="G8" i="20"/>
  <c r="G18" i="20"/>
  <c r="G25" i="20"/>
  <c r="M19" i="20"/>
  <c r="K9" i="20"/>
  <c r="P14" i="20"/>
  <c r="P19" i="20"/>
  <c r="P24" i="20"/>
  <c r="N9" i="20"/>
  <c r="N14" i="20"/>
  <c r="N19" i="20"/>
  <c r="O9" i="20"/>
  <c r="O14" i="20"/>
  <c r="O24" i="20"/>
  <c r="D109" i="17"/>
  <c r="D41" i="19" s="1"/>
  <c r="D114" i="17"/>
  <c r="D46" i="19" s="1"/>
  <c r="D117" i="17"/>
  <c r="D49" i="19" s="1"/>
  <c r="D133" i="17"/>
  <c r="E34" i="19" s="1"/>
  <c r="D135" i="17"/>
  <c r="E36" i="19" s="1"/>
  <c r="D143" i="17"/>
  <c r="E44" i="19" s="1"/>
  <c r="D166" i="17"/>
  <c r="F36" i="19" s="1"/>
  <c r="D169" i="17"/>
  <c r="F39" i="19" s="1"/>
  <c r="D179" i="17"/>
  <c r="F49" i="19" s="1"/>
  <c r="D194" i="17"/>
  <c r="G34" i="19" s="1"/>
  <c r="D196" i="17"/>
  <c r="G36" i="19" s="1"/>
  <c r="D201" i="17"/>
  <c r="G41" i="19" s="1"/>
  <c r="D204" i="17"/>
  <c r="G44" i="19" s="1"/>
  <c r="D225" i="17"/>
  <c r="M34" i="19" s="1"/>
  <c r="D230" i="17"/>
  <c r="M39" i="19" s="1"/>
  <c r="D240" i="17"/>
  <c r="M49" i="19" s="1"/>
  <c r="D256" i="17"/>
  <c r="I34" i="19" s="1"/>
  <c r="D261" i="17"/>
  <c r="I39" i="19" s="1"/>
  <c r="D292" i="17"/>
  <c r="J39" i="19" s="1"/>
  <c r="D297" i="17"/>
  <c r="J44" i="19" s="1"/>
  <c r="D328" i="17"/>
  <c r="K44" i="19" s="1"/>
  <c r="D333" i="17"/>
  <c r="K49" i="19" s="1"/>
  <c r="D349" i="17"/>
  <c r="L34" i="19" s="1"/>
  <c r="D354" i="17"/>
  <c r="L39" i="19" s="1"/>
  <c r="D385" i="17"/>
  <c r="P39" i="19" s="1"/>
  <c r="D410" i="17"/>
  <c r="N34" i="19" s="1"/>
  <c r="D425" i="17"/>
  <c r="N49" i="19" s="1"/>
  <c r="D445" i="17"/>
  <c r="O39" i="19" s="1"/>
  <c r="D450" i="17"/>
  <c r="O44" i="19" s="1"/>
  <c r="D455" i="17"/>
  <c r="O49" i="19" s="1"/>
  <c r="L22" i="18"/>
  <c r="H107" i="20" s="1"/>
  <c r="L200" i="18"/>
  <c r="G100" i="20" s="1"/>
  <c r="D448" i="18"/>
  <c r="O43" i="20" s="1"/>
  <c r="D172" i="18"/>
  <c r="F43" i="20" s="1"/>
  <c r="D237" i="18"/>
  <c r="M47" i="20" s="1"/>
  <c r="O18" i="20"/>
  <c r="H71" i="20"/>
  <c r="H8" i="19"/>
  <c r="L10" i="17"/>
  <c r="H93" i="19" s="1"/>
  <c r="H10" i="19"/>
  <c r="H13" i="19"/>
  <c r="L15" i="17"/>
  <c r="H15" i="19"/>
  <c r="H18" i="19"/>
  <c r="H23" i="19"/>
  <c r="L25" i="17"/>
  <c r="H108" i="19" s="1"/>
  <c r="H25" i="19"/>
  <c r="B8" i="19"/>
  <c r="B10" i="19"/>
  <c r="L44" i="17"/>
  <c r="B95" i="19" s="1"/>
  <c r="B13" i="19"/>
  <c r="B15" i="19"/>
  <c r="L49" i="17"/>
  <c r="L52" i="17"/>
  <c r="R195" i="18"/>
  <c r="Q357" i="18"/>
  <c r="H9" i="19"/>
  <c r="L11" i="17"/>
  <c r="H12" i="19"/>
  <c r="L14" i="17"/>
  <c r="H97" i="19" s="1"/>
  <c r="H14" i="19"/>
  <c r="L16" i="17"/>
  <c r="H17" i="19"/>
  <c r="H19" i="19"/>
  <c r="L21" i="17"/>
  <c r="L24" i="17"/>
  <c r="H107" i="19" s="1"/>
  <c r="H24" i="19"/>
  <c r="L26" i="17"/>
  <c r="H109" i="19" s="1"/>
  <c r="B7" i="19"/>
  <c r="L41" i="17"/>
  <c r="B9" i="19"/>
  <c r="L43" i="17"/>
  <c r="B94" i="19" s="1"/>
  <c r="B12" i="19"/>
  <c r="B14" i="19"/>
  <c r="L48" i="17"/>
  <c r="B99" i="19" s="1"/>
  <c r="B17" i="19"/>
  <c r="L51" i="17"/>
  <c r="B19" i="19"/>
  <c r="L53" i="17"/>
  <c r="B104" i="19" s="1"/>
  <c r="B22" i="19"/>
  <c r="L56" i="17"/>
  <c r="B107" i="19" s="1"/>
  <c r="B24" i="19"/>
  <c r="L58" i="17"/>
  <c r="C7" i="19"/>
  <c r="L72" i="17"/>
  <c r="C92" i="19" s="1"/>
  <c r="C9" i="19"/>
  <c r="L74" i="17"/>
  <c r="C12" i="19"/>
  <c r="L77" i="17"/>
  <c r="L79" i="17"/>
  <c r="C17" i="19"/>
  <c r="L82" i="17"/>
  <c r="C102" i="19" s="1"/>
  <c r="C19" i="19"/>
  <c r="L84" i="17"/>
  <c r="C22" i="19"/>
  <c r="L87" i="17"/>
  <c r="C24" i="19"/>
  <c r="L89" i="17"/>
  <c r="D7" i="19"/>
  <c r="L102" i="17"/>
  <c r="D9" i="19"/>
  <c r="L104" i="17"/>
  <c r="D94" i="19" s="1"/>
  <c r="D12" i="19"/>
  <c r="L107" i="17"/>
  <c r="D97" i="19" s="1"/>
  <c r="D14" i="19"/>
  <c r="L109" i="17"/>
  <c r="D17" i="19"/>
  <c r="L112" i="17"/>
  <c r="D19" i="19"/>
  <c r="L114" i="17"/>
  <c r="D22" i="19"/>
  <c r="L117" i="17"/>
  <c r="D107" i="19" s="1"/>
  <c r="L119" i="17"/>
  <c r="D109" i="19" s="1"/>
  <c r="E7" i="19"/>
  <c r="L133" i="17"/>
  <c r="E9" i="19"/>
  <c r="L135" i="17"/>
  <c r="E94" i="19" s="1"/>
  <c r="E12" i="19"/>
  <c r="L138" i="17"/>
  <c r="E97" i="19" s="1"/>
  <c r="E14" i="19"/>
  <c r="L140" i="17"/>
  <c r="E99" i="19" s="1"/>
  <c r="E17" i="19"/>
  <c r="L143" i="17"/>
  <c r="E19" i="19"/>
  <c r="L145" i="17"/>
  <c r="E22" i="19"/>
  <c r="L148" i="17"/>
  <c r="E24" i="19"/>
  <c r="L150" i="17"/>
  <c r="F7" i="19"/>
  <c r="L164" i="17"/>
  <c r="F9" i="19"/>
  <c r="F12" i="19"/>
  <c r="L169" i="17"/>
  <c r="L171" i="17"/>
  <c r="L174" i="17"/>
  <c r="F19" i="19"/>
  <c r="L176" i="17"/>
  <c r="F104" i="19" s="1"/>
  <c r="F22" i="19"/>
  <c r="L179" i="17"/>
  <c r="F107" i="19" s="1"/>
  <c r="L181" i="17"/>
  <c r="F109" i="19" s="1"/>
  <c r="G7" i="19"/>
  <c r="L194" i="17"/>
  <c r="L196" i="17"/>
  <c r="G12" i="19"/>
  <c r="L199" i="17"/>
  <c r="G14" i="19"/>
  <c r="L201" i="17"/>
  <c r="G99" i="19" s="1"/>
  <c r="G17" i="19"/>
  <c r="L204" i="17"/>
  <c r="G102" i="19" s="1"/>
  <c r="G19" i="19"/>
  <c r="L206" i="17"/>
  <c r="G104" i="19" s="1"/>
  <c r="G22" i="19"/>
  <c r="L209" i="17"/>
  <c r="G24" i="19"/>
  <c r="L211" i="17"/>
  <c r="M7" i="19"/>
  <c r="D226" i="17"/>
  <c r="M35" i="19" s="1"/>
  <c r="M12" i="19"/>
  <c r="D231" i="17"/>
  <c r="M17" i="19"/>
  <c r="D236" i="17"/>
  <c r="M22" i="19"/>
  <c r="D241" i="17"/>
  <c r="I7" i="19"/>
  <c r="D257" i="17"/>
  <c r="D262" i="17"/>
  <c r="I40" i="19" s="1"/>
  <c r="I17" i="19"/>
  <c r="D267" i="17"/>
  <c r="I45" i="19" s="1"/>
  <c r="D272" i="17"/>
  <c r="J7" i="19"/>
  <c r="J12" i="19"/>
  <c r="D293" i="17"/>
  <c r="J17" i="19"/>
  <c r="J22" i="19"/>
  <c r="K17" i="19"/>
  <c r="P12" i="19"/>
  <c r="O12" i="19"/>
  <c r="O22" i="19"/>
  <c r="D9" i="17"/>
  <c r="H34" i="19" s="1"/>
  <c r="D11" i="17"/>
  <c r="H36" i="19" s="1"/>
  <c r="D14" i="17"/>
  <c r="H39" i="19" s="1"/>
  <c r="H75" i="19"/>
  <c r="D21" i="17"/>
  <c r="D46" i="17"/>
  <c r="B39" i="19" s="1"/>
  <c r="D58" i="17"/>
  <c r="B51" i="19" s="1"/>
  <c r="D72" i="17"/>
  <c r="C34" i="19" s="1"/>
  <c r="D84" i="17"/>
  <c r="C46" i="19" s="1"/>
  <c r="C82" i="19"/>
  <c r="D67" i="19"/>
  <c r="E70" i="19"/>
  <c r="F75" i="19"/>
  <c r="G75" i="19"/>
  <c r="G80" i="19"/>
  <c r="J10" i="19"/>
  <c r="Q331" i="17"/>
  <c r="K20" i="19"/>
  <c r="P10" i="19"/>
  <c r="O10" i="19"/>
  <c r="Q290" i="18"/>
  <c r="J38" i="20"/>
  <c r="R15" i="18"/>
  <c r="H100" i="20"/>
  <c r="F76" i="20"/>
  <c r="G81" i="20"/>
  <c r="K13" i="20"/>
  <c r="N23" i="20"/>
  <c r="L10" i="19"/>
  <c r="L54" i="17"/>
  <c r="L80" i="17"/>
  <c r="D17" i="18"/>
  <c r="H43" i="20" s="1"/>
  <c r="D20" i="18"/>
  <c r="R21" i="18"/>
  <c r="D25" i="18"/>
  <c r="D27" i="18"/>
  <c r="D44" i="18"/>
  <c r="B22" i="20"/>
  <c r="D57" i="18"/>
  <c r="D80" i="18"/>
  <c r="D88" i="18"/>
  <c r="D103" i="18"/>
  <c r="D36" i="20" s="1"/>
  <c r="D9" i="20"/>
  <c r="D105" i="18"/>
  <c r="D38" i="20" s="1"/>
  <c r="D118" i="18"/>
  <c r="D134" i="18"/>
  <c r="E36" i="20" s="1"/>
  <c r="D139" i="18"/>
  <c r="E41" i="20" s="1"/>
  <c r="E14" i="20"/>
  <c r="D146" i="18"/>
  <c r="E48" i="20" s="1"/>
  <c r="D151" i="18"/>
  <c r="D180" i="18"/>
  <c r="D210" i="18"/>
  <c r="D258" i="18"/>
  <c r="J12" i="20"/>
  <c r="D294" i="18"/>
  <c r="J17" i="20"/>
  <c r="D304" i="18"/>
  <c r="J52" i="20" s="1"/>
  <c r="D330" i="18"/>
  <c r="D351" i="18"/>
  <c r="L12" i="20"/>
  <c r="D366" i="18"/>
  <c r="Q381" i="18"/>
  <c r="D427" i="18"/>
  <c r="D447" i="18"/>
  <c r="D457" i="18"/>
  <c r="O52" i="20" s="1"/>
  <c r="L73" i="17"/>
  <c r="C93" i="19" s="1"/>
  <c r="L75" i="17"/>
  <c r="D10" i="18"/>
  <c r="D12" i="18"/>
  <c r="D15" i="18"/>
  <c r="H41" i="20" s="1"/>
  <c r="H19" i="20"/>
  <c r="D22" i="18"/>
  <c r="D42" i="18"/>
  <c r="B36" i="20" s="1"/>
  <c r="D47" i="18"/>
  <c r="B14" i="20"/>
  <c r="D49" i="18"/>
  <c r="D59" i="18"/>
  <c r="D73" i="18"/>
  <c r="C36" i="20" s="1"/>
  <c r="C9" i="20"/>
  <c r="D75" i="18"/>
  <c r="D78" i="18"/>
  <c r="C17" i="20"/>
  <c r="D83" i="18"/>
  <c r="D85" i="18"/>
  <c r="D110" i="18"/>
  <c r="D17" i="20"/>
  <c r="D113" i="18"/>
  <c r="D115" i="18"/>
  <c r="D120" i="18"/>
  <c r="D53" i="20" s="1"/>
  <c r="D136" i="18"/>
  <c r="E38" i="20" s="1"/>
  <c r="D141" i="18"/>
  <c r="E43" i="20" s="1"/>
  <c r="D149" i="18"/>
  <c r="D165" i="18"/>
  <c r="F36" i="20" s="1"/>
  <c r="F12" i="20"/>
  <c r="D170" i="18"/>
  <c r="D175" i="18"/>
  <c r="D177" i="18"/>
  <c r="F24" i="20"/>
  <c r="D182" i="18"/>
  <c r="D195" i="18"/>
  <c r="G36" i="20" s="1"/>
  <c r="G12" i="20"/>
  <c r="D200" i="18"/>
  <c r="D202" i="18"/>
  <c r="D205" i="18"/>
  <c r="D212" i="18"/>
  <c r="D227" i="18"/>
  <c r="M37" i="20" s="1"/>
  <c r="D232" i="18"/>
  <c r="M42" i="20" s="1"/>
  <c r="D242" i="18"/>
  <c r="M52" i="20" s="1"/>
  <c r="D268" i="18"/>
  <c r="D289" i="18"/>
  <c r="D325" i="18"/>
  <c r="K42" i="20" s="1"/>
  <c r="D335" i="18"/>
  <c r="K52" i="20" s="1"/>
  <c r="D356" i="18"/>
  <c r="L42" i="20" s="1"/>
  <c r="D382" i="18"/>
  <c r="P12" i="20"/>
  <c r="D387" i="18"/>
  <c r="D392" i="18"/>
  <c r="D412" i="18"/>
  <c r="N37" i="20" s="1"/>
  <c r="N12" i="20"/>
  <c r="D417" i="18"/>
  <c r="N42" i="20" s="1"/>
  <c r="D422" i="18"/>
  <c r="D442" i="18"/>
  <c r="D452" i="18"/>
  <c r="O47" i="20" s="1"/>
  <c r="N20" i="19"/>
  <c r="H69" i="20"/>
  <c r="C25" i="19"/>
  <c r="D13" i="19"/>
  <c r="D20" i="19"/>
  <c r="D23" i="19"/>
  <c r="D25" i="19"/>
  <c r="E10" i="19"/>
  <c r="E15" i="19"/>
  <c r="E25" i="19"/>
  <c r="F8" i="19"/>
  <c r="F13" i="19"/>
  <c r="F15" i="19"/>
  <c r="F20" i="19"/>
  <c r="F25" i="19"/>
  <c r="G8" i="19"/>
  <c r="G10" i="19"/>
  <c r="G23" i="19"/>
  <c r="M14" i="19"/>
  <c r="M24" i="19"/>
  <c r="I19" i="19"/>
  <c r="I24" i="19"/>
  <c r="J9" i="19"/>
  <c r="J19" i="19"/>
  <c r="J24" i="19"/>
  <c r="K14" i="19"/>
  <c r="K24" i="19"/>
  <c r="L9" i="19"/>
  <c r="L14" i="19"/>
  <c r="P9" i="19"/>
  <c r="P19" i="19"/>
  <c r="O14" i="19"/>
  <c r="O19" i="19"/>
  <c r="D9" i="18"/>
  <c r="H35" i="20" s="1"/>
  <c r="H67" i="20"/>
  <c r="D11" i="18"/>
  <c r="H37" i="20" s="1"/>
  <c r="D14" i="18"/>
  <c r="H40" i="20" s="1"/>
  <c r="H72" i="20"/>
  <c r="D19" i="18"/>
  <c r="B82" i="20"/>
  <c r="E72" i="20"/>
  <c r="K15" i="20"/>
  <c r="O10" i="20"/>
  <c r="L42" i="18"/>
  <c r="B95" i="20" s="1"/>
  <c r="L54" i="18"/>
  <c r="D298" i="17"/>
  <c r="J45" i="19" s="1"/>
  <c r="D303" i="17"/>
  <c r="J50" i="19" s="1"/>
  <c r="D304" i="17"/>
  <c r="J51" i="19" s="1"/>
  <c r="D319" i="17"/>
  <c r="K35" i="19" s="1"/>
  <c r="K12" i="19"/>
  <c r="D325" i="17"/>
  <c r="K41" i="19" s="1"/>
  <c r="D329" i="17"/>
  <c r="D330" i="17"/>
  <c r="K22" i="19"/>
  <c r="D334" i="17"/>
  <c r="L7" i="19"/>
  <c r="D355" i="17"/>
  <c r="D360" i="17"/>
  <c r="L22" i="19"/>
  <c r="D381" i="17"/>
  <c r="D386" i="17"/>
  <c r="P17" i="19"/>
  <c r="D391" i="17"/>
  <c r="P22" i="19"/>
  <c r="D396" i="17"/>
  <c r="P50" i="19" s="1"/>
  <c r="N7" i="19"/>
  <c r="D411" i="17"/>
  <c r="N35" i="19" s="1"/>
  <c r="N12" i="19"/>
  <c r="D416" i="17"/>
  <c r="D421" i="17"/>
  <c r="N22" i="19"/>
  <c r="D426" i="17"/>
  <c r="O7" i="19"/>
  <c r="D446" i="17"/>
  <c r="O17" i="19"/>
  <c r="D451" i="17"/>
  <c r="O45" i="19" s="1"/>
  <c r="D456" i="17"/>
  <c r="O50" i="19" s="1"/>
  <c r="Q274" i="18"/>
  <c r="I53" i="20"/>
  <c r="H66" i="20"/>
  <c r="H68" i="20"/>
  <c r="H73" i="20"/>
  <c r="H76" i="20"/>
  <c r="H78" i="20"/>
  <c r="H81" i="20"/>
  <c r="H83" i="20"/>
  <c r="B66" i="20"/>
  <c r="B68" i="20"/>
  <c r="B71" i="20"/>
  <c r="B73" i="20"/>
  <c r="B76" i="20"/>
  <c r="B78" i="20"/>
  <c r="B81" i="20"/>
  <c r="B83" i="20"/>
  <c r="C66" i="20"/>
  <c r="C68" i="20"/>
  <c r="C71" i="20"/>
  <c r="C73" i="20"/>
  <c r="C76" i="20"/>
  <c r="C78" i="20"/>
  <c r="C81" i="20"/>
  <c r="C83" i="20"/>
  <c r="D68" i="20"/>
  <c r="D71" i="20"/>
  <c r="D73" i="20"/>
  <c r="D76" i="20"/>
  <c r="D78" i="20"/>
  <c r="D81" i="20"/>
  <c r="D83" i="20"/>
  <c r="E66" i="20"/>
  <c r="E68" i="20"/>
  <c r="E71" i="20"/>
  <c r="E73" i="20"/>
  <c r="E76" i="20"/>
  <c r="E78" i="20"/>
  <c r="E81" i="20"/>
  <c r="E83" i="20"/>
  <c r="F66" i="20"/>
  <c r="F68" i="20"/>
  <c r="F71" i="20"/>
  <c r="F73" i="20"/>
  <c r="F78" i="20"/>
  <c r="F81" i="20"/>
  <c r="F83" i="20"/>
  <c r="G66" i="20"/>
  <c r="G68" i="20"/>
  <c r="G73" i="20"/>
  <c r="G76" i="20"/>
  <c r="G78" i="20"/>
  <c r="G83" i="20"/>
  <c r="M13" i="20"/>
  <c r="M18" i="20"/>
  <c r="M23" i="20"/>
  <c r="I8" i="20"/>
  <c r="I13" i="20"/>
  <c r="I18" i="20"/>
  <c r="I23" i="20"/>
  <c r="J8" i="20"/>
  <c r="J13" i="20"/>
  <c r="J23" i="20"/>
  <c r="K8" i="20"/>
  <c r="K18" i="20"/>
  <c r="K23" i="20"/>
  <c r="L8" i="20"/>
  <c r="L13" i="20"/>
  <c r="L18" i="20"/>
  <c r="L23" i="20"/>
  <c r="P8" i="20"/>
  <c r="P13" i="20"/>
  <c r="P18" i="20"/>
  <c r="P23" i="20"/>
  <c r="N8" i="20"/>
  <c r="N13" i="20"/>
  <c r="N18" i="20"/>
  <c r="O8" i="20"/>
  <c r="O13" i="20"/>
  <c r="O23" i="20"/>
  <c r="D16" i="18"/>
  <c r="H74" i="20"/>
  <c r="D21" i="18"/>
  <c r="H79" i="20"/>
  <c r="H84" i="20"/>
  <c r="B67" i="20"/>
  <c r="B69" i="20"/>
  <c r="D46" i="18"/>
  <c r="B40" i="20" s="1"/>
  <c r="B72" i="20"/>
  <c r="B77" i="20"/>
  <c r="B79" i="20"/>
  <c r="D56" i="18"/>
  <c r="B84" i="20"/>
  <c r="D72" i="18"/>
  <c r="C35" i="20" s="1"/>
  <c r="C67" i="20"/>
  <c r="C69" i="20"/>
  <c r="C72" i="20"/>
  <c r="C74" i="20"/>
  <c r="C77" i="20"/>
  <c r="C79" i="20"/>
  <c r="C82" i="20"/>
  <c r="D89" i="18"/>
  <c r="C52" i="20" s="1"/>
  <c r="C84" i="20"/>
  <c r="D102" i="18"/>
  <c r="D67" i="20"/>
  <c r="D104" i="18"/>
  <c r="D69" i="20"/>
  <c r="D72" i="20"/>
  <c r="D74" i="20"/>
  <c r="D112" i="18"/>
  <c r="D45" i="20" s="1"/>
  <c r="D77" i="20"/>
  <c r="D114" i="18"/>
  <c r="D79" i="20"/>
  <c r="D82" i="20"/>
  <c r="D84" i="20"/>
  <c r="E67" i="20"/>
  <c r="E69" i="20"/>
  <c r="D138" i="18"/>
  <c r="D140" i="18"/>
  <c r="E42" i="20" s="1"/>
  <c r="E74" i="20"/>
  <c r="E77" i="20"/>
  <c r="D145" i="18"/>
  <c r="E47" i="20" s="1"/>
  <c r="E79" i="20"/>
  <c r="E82" i="20"/>
  <c r="D150" i="18"/>
  <c r="E84" i="20"/>
  <c r="D166" i="18"/>
  <c r="F69" i="20"/>
  <c r="F72" i="20"/>
  <c r="F74" i="20"/>
  <c r="R177" i="18"/>
  <c r="F79" i="20"/>
  <c r="D179" i="18"/>
  <c r="F50" i="20" s="1"/>
  <c r="F82" i="20"/>
  <c r="D181" i="18"/>
  <c r="F84" i="20"/>
  <c r="G67" i="20"/>
  <c r="G69" i="20"/>
  <c r="D199" i="18"/>
  <c r="G40" i="20" s="1"/>
  <c r="G72" i="20"/>
  <c r="D201" i="18"/>
  <c r="G74" i="20"/>
  <c r="G77" i="20"/>
  <c r="D206" i="18"/>
  <c r="G47" i="20" s="1"/>
  <c r="D209" i="18"/>
  <c r="G50" i="20" s="1"/>
  <c r="G82" i="20"/>
  <c r="G84" i="20"/>
  <c r="D225" i="18"/>
  <c r="M35" i="20" s="1"/>
  <c r="M10" i="20"/>
  <c r="M15" i="20"/>
  <c r="M20" i="20"/>
  <c r="D240" i="18"/>
  <c r="M50" i="20" s="1"/>
  <c r="M25" i="20"/>
  <c r="D256" i="18"/>
  <c r="I35" i="20" s="1"/>
  <c r="I10" i="20"/>
  <c r="D261" i="18"/>
  <c r="I40" i="20" s="1"/>
  <c r="I15" i="20"/>
  <c r="I20" i="20"/>
  <c r="I25" i="20"/>
  <c r="D292" i="18"/>
  <c r="J40" i="20" s="1"/>
  <c r="D297" i="18"/>
  <c r="J45" i="20" s="1"/>
  <c r="J20" i="20"/>
  <c r="J25" i="20"/>
  <c r="D328" i="18"/>
  <c r="K45" i="20" s="1"/>
  <c r="Q336" i="18"/>
  <c r="K25" i="20"/>
  <c r="L10" i="20"/>
  <c r="D354" i="18"/>
  <c r="L40" i="20" s="1"/>
  <c r="L20" i="20"/>
  <c r="L25" i="20"/>
  <c r="P10" i="20"/>
  <c r="D385" i="18"/>
  <c r="P40" i="20" s="1"/>
  <c r="P15" i="20"/>
  <c r="P20" i="20"/>
  <c r="P25" i="20"/>
  <c r="D410" i="18"/>
  <c r="N10" i="20"/>
  <c r="D415" i="18"/>
  <c r="N40" i="20" s="1"/>
  <c r="N15" i="20"/>
  <c r="N20" i="20"/>
  <c r="D425" i="18"/>
  <c r="N50" i="20" s="1"/>
  <c r="N25" i="20"/>
  <c r="O15" i="20"/>
  <c r="D450" i="18"/>
  <c r="O45" i="20" s="1"/>
  <c r="O20" i="20"/>
  <c r="D455" i="18"/>
  <c r="O25" i="20"/>
  <c r="L13" i="19"/>
  <c r="L18" i="19"/>
  <c r="L23" i="19"/>
  <c r="P18" i="19"/>
  <c r="P23" i="19"/>
  <c r="O8" i="19"/>
  <c r="H10" i="20"/>
  <c r="H15" i="20"/>
  <c r="L17" i="18"/>
  <c r="H102" i="20" s="1"/>
  <c r="H18" i="20"/>
  <c r="H20" i="20"/>
  <c r="H23" i="20"/>
  <c r="L27" i="18"/>
  <c r="H112" i="20" s="1"/>
  <c r="B8" i="20"/>
  <c r="B13" i="20"/>
  <c r="L47" i="18"/>
  <c r="B100" i="20" s="1"/>
  <c r="B15" i="20"/>
  <c r="B18" i="20"/>
  <c r="B20" i="20"/>
  <c r="B23" i="20"/>
  <c r="L59" i="18"/>
  <c r="B112" i="20" s="1"/>
  <c r="C8" i="20"/>
  <c r="C10" i="20"/>
  <c r="L75" i="18"/>
  <c r="C97" i="20" s="1"/>
  <c r="C13" i="20"/>
  <c r="L80" i="18"/>
  <c r="C102" i="20" s="1"/>
  <c r="C18" i="20"/>
  <c r="L83" i="18"/>
  <c r="C20" i="20"/>
  <c r="L85" i="18"/>
  <c r="C107" i="20" s="1"/>
  <c r="C23" i="20"/>
  <c r="C25" i="20"/>
  <c r="D8" i="20"/>
  <c r="L105" i="18"/>
  <c r="D15" i="20"/>
  <c r="D18" i="20"/>
  <c r="L118" i="18"/>
  <c r="D110" i="20" s="1"/>
  <c r="D25" i="20"/>
  <c r="L134" i="18"/>
  <c r="E95" i="20" s="1"/>
  <c r="E10" i="20"/>
  <c r="E13" i="20"/>
  <c r="E20" i="20"/>
  <c r="E23" i="20"/>
  <c r="E25" i="20"/>
  <c r="F8" i="20"/>
  <c r="L167" i="18"/>
  <c r="F13" i="20"/>
  <c r="F15" i="20"/>
  <c r="F18" i="20"/>
  <c r="L175" i="18"/>
  <c r="F20" i="20"/>
  <c r="F25" i="20"/>
  <c r="L182" i="18"/>
  <c r="F112" i="20" s="1"/>
  <c r="G10" i="20"/>
  <c r="G13" i="20"/>
  <c r="G15" i="20"/>
  <c r="G20" i="20"/>
  <c r="G23" i="20"/>
  <c r="M9" i="20"/>
  <c r="M14" i="20"/>
  <c r="D233" i="18"/>
  <c r="M43" i="20" s="1"/>
  <c r="M24" i="20"/>
  <c r="I19" i="20"/>
  <c r="D269" i="18"/>
  <c r="I48" i="20" s="1"/>
  <c r="I24" i="20"/>
  <c r="J9" i="20"/>
  <c r="D300" i="18"/>
  <c r="D305" i="18"/>
  <c r="J53" i="20" s="1"/>
  <c r="K14" i="20"/>
  <c r="K19" i="20"/>
  <c r="D331" i="18"/>
  <c r="K24" i="20"/>
  <c r="L9" i="20"/>
  <c r="L14" i="20"/>
  <c r="L19" i="20"/>
  <c r="D362" i="18"/>
  <c r="L24" i="20"/>
  <c r="P9" i="20"/>
  <c r="D388" i="18"/>
  <c r="D393" i="18"/>
  <c r="P48" i="20" s="1"/>
  <c r="D418" i="18"/>
  <c r="D443" i="18"/>
  <c r="D458" i="18"/>
  <c r="F77" i="20"/>
  <c r="R202" i="18"/>
  <c r="Q84" i="18"/>
  <c r="R49" i="18"/>
  <c r="D423" i="18"/>
  <c r="D52" i="18"/>
  <c r="D167" i="18"/>
  <c r="D211" i="18"/>
  <c r="D26" i="18"/>
  <c r="D54" i="18"/>
  <c r="L109" i="18"/>
  <c r="R113" i="18"/>
  <c r="L145" i="18"/>
  <c r="D197" i="18"/>
  <c r="L210" i="18"/>
  <c r="G110" i="20" s="1"/>
  <c r="D263" i="18"/>
  <c r="D299" i="18"/>
  <c r="L10" i="18"/>
  <c r="R72" i="18"/>
  <c r="D171" i="18"/>
  <c r="D207" i="18"/>
  <c r="Q266" i="18"/>
  <c r="L9" i="18"/>
  <c r="L19" i="18"/>
  <c r="D24" i="18"/>
  <c r="L44" i="18"/>
  <c r="D58" i="18"/>
  <c r="L73" i="18"/>
  <c r="L78" i="18"/>
  <c r="L88" i="18"/>
  <c r="L90" i="18"/>
  <c r="R104" i="18"/>
  <c r="D108" i="18"/>
  <c r="L110" i="18"/>
  <c r="L120" i="18"/>
  <c r="D144" i="18"/>
  <c r="L146" i="18"/>
  <c r="L170" i="18"/>
  <c r="Q264" i="18"/>
  <c r="D273" i="18"/>
  <c r="D288" i="18"/>
  <c r="D361" i="18"/>
  <c r="L47" i="20" s="1"/>
  <c r="D441" i="18"/>
  <c r="D43" i="18"/>
  <c r="D51" i="18"/>
  <c r="D77" i="18"/>
  <c r="D107" i="18"/>
  <c r="D119" i="18"/>
  <c r="D135" i="18"/>
  <c r="D143" i="18"/>
  <c r="D164" i="18"/>
  <c r="D176" i="18"/>
  <c r="F47" i="20" s="1"/>
  <c r="D196" i="18"/>
  <c r="D204" i="18"/>
  <c r="D271" i="18"/>
  <c r="I50" i="20" s="1"/>
  <c r="D287" i="18"/>
  <c r="D320" i="18"/>
  <c r="D397" i="18"/>
  <c r="D420" i="18"/>
  <c r="D440" i="18"/>
  <c r="D90" i="18"/>
  <c r="L205" i="18"/>
  <c r="Q321" i="18"/>
  <c r="D324" i="18"/>
  <c r="D365" i="18"/>
  <c r="D41" i="18"/>
  <c r="L52" i="18"/>
  <c r="D79" i="18"/>
  <c r="C42" i="20" s="1"/>
  <c r="D87" i="18"/>
  <c r="L89" i="18"/>
  <c r="L108" i="18"/>
  <c r="D117" i="18"/>
  <c r="D133" i="18"/>
  <c r="L144" i="18"/>
  <c r="L165" i="18"/>
  <c r="D174" i="18"/>
  <c r="D194" i="18"/>
  <c r="D235" i="18"/>
  <c r="M45" i="20" s="1"/>
  <c r="D318" i="18"/>
  <c r="K35" i="20" s="1"/>
  <c r="D323" i="18"/>
  <c r="K40" i="20" s="1"/>
  <c r="D359" i="18"/>
  <c r="D364" i="18"/>
  <c r="D380" i="18"/>
  <c r="P35" i="20" s="1"/>
  <c r="D395" i="18"/>
  <c r="D10" i="17"/>
  <c r="D44" i="17"/>
  <c r="D167" i="17"/>
  <c r="Q305" i="17"/>
  <c r="D320" i="17"/>
  <c r="L12" i="17"/>
  <c r="L22" i="17"/>
  <c r="D150" i="17"/>
  <c r="D263" i="17"/>
  <c r="D299" i="17"/>
  <c r="D326" i="17"/>
  <c r="L9" i="17"/>
  <c r="L19" i="17"/>
  <c r="D24" i="17"/>
  <c r="D48" i="17"/>
  <c r="L83" i="17"/>
  <c r="D105" i="17"/>
  <c r="L118" i="17"/>
  <c r="D139" i="17"/>
  <c r="D171" i="17"/>
  <c r="F41" i="19" s="1"/>
  <c r="D274" i="17"/>
  <c r="L47" i="17"/>
  <c r="D149" i="17"/>
  <c r="L170" i="17"/>
  <c r="D273" i="17"/>
  <c r="D288" i="17"/>
  <c r="D441" i="17"/>
  <c r="D41" i="17"/>
  <c r="D53" i="17"/>
  <c r="B46" i="19" s="1"/>
  <c r="D77" i="17"/>
  <c r="C39" i="19" s="1"/>
  <c r="R85" i="17"/>
  <c r="D89" i="17"/>
  <c r="D104" i="17"/>
  <c r="D36" i="19" s="1"/>
  <c r="D112" i="17"/>
  <c r="D138" i="17"/>
  <c r="L149" i="17"/>
  <c r="D164" i="17"/>
  <c r="L166" i="17"/>
  <c r="F94" i="19" s="1"/>
  <c r="D176" i="17"/>
  <c r="D199" i="17"/>
  <c r="D211" i="17"/>
  <c r="D271" i="17"/>
  <c r="D287" i="17"/>
  <c r="D361" i="17"/>
  <c r="L46" i="19" s="1"/>
  <c r="D397" i="17"/>
  <c r="D420" i="17"/>
  <c r="D440" i="17"/>
  <c r="D27" i="17"/>
  <c r="D151" i="17"/>
  <c r="L200" i="17"/>
  <c r="D324" i="17"/>
  <c r="D365" i="17"/>
  <c r="L50" i="19" s="1"/>
  <c r="L78" i="17"/>
  <c r="L42" i="17"/>
  <c r="D51" i="17"/>
  <c r="D87" i="17"/>
  <c r="D102" i="17"/>
  <c r="L113" i="17"/>
  <c r="D140" i="17"/>
  <c r="D148" i="17"/>
  <c r="E49" i="19" s="1"/>
  <c r="L165" i="17"/>
  <c r="D174" i="17"/>
  <c r="D209" i="17"/>
  <c r="D235" i="17"/>
  <c r="D318" i="17"/>
  <c r="D323" i="17"/>
  <c r="D359" i="17"/>
  <c r="D364" i="17"/>
  <c r="D380" i="17"/>
  <c r="D395" i="17"/>
  <c r="P49" i="19" s="1"/>
  <c r="R141" i="18" l="1"/>
  <c r="Q53" i="18"/>
  <c r="Q230" i="17"/>
  <c r="G107" i="20"/>
  <c r="R58" i="18"/>
  <c r="Q298" i="18"/>
  <c r="Q445" i="18"/>
  <c r="Q202" i="17"/>
  <c r="Q416" i="18"/>
  <c r="Q181" i="17"/>
  <c r="R151" i="18"/>
  <c r="Q228" i="18"/>
  <c r="Q367" i="18"/>
  <c r="R134" i="17"/>
  <c r="Q231" i="18"/>
  <c r="Q262" i="18"/>
  <c r="R206" i="18"/>
  <c r="Q334" i="18"/>
  <c r="Q349" i="17"/>
  <c r="Q417" i="17"/>
  <c r="Q268" i="17"/>
  <c r="R141" i="17"/>
  <c r="F104" i="20"/>
  <c r="R38" i="20"/>
  <c r="R46" i="18"/>
  <c r="Q297" i="17"/>
  <c r="Q49" i="17"/>
  <c r="Q362" i="17"/>
  <c r="Q79" i="17"/>
  <c r="R212" i="17"/>
  <c r="Q232" i="18"/>
  <c r="R205" i="17"/>
  <c r="Q295" i="17"/>
  <c r="Q411" i="18"/>
  <c r="R212" i="18"/>
  <c r="Q141" i="18"/>
  <c r="R20" i="18"/>
  <c r="F101" i="20"/>
  <c r="Q47" i="17"/>
  <c r="Q59" i="17"/>
  <c r="R110" i="17"/>
  <c r="R43" i="20"/>
  <c r="Q453" i="18"/>
  <c r="Q177" i="17"/>
  <c r="Q225" i="17"/>
  <c r="Q457" i="17"/>
  <c r="Q233" i="17"/>
  <c r="Q145" i="17"/>
  <c r="R194" i="18"/>
  <c r="Q74" i="18"/>
  <c r="Q110" i="17"/>
  <c r="Q352" i="18"/>
  <c r="Q393" i="17"/>
  <c r="Q143" i="17"/>
  <c r="R26" i="18"/>
  <c r="Q41" i="20"/>
  <c r="Q326" i="18"/>
  <c r="Q85" i="17"/>
  <c r="R197" i="18"/>
  <c r="Q428" i="17"/>
  <c r="Q349" i="18"/>
  <c r="Q16" i="17"/>
  <c r="R169" i="18"/>
  <c r="Q25" i="17"/>
  <c r="Q295" i="18"/>
  <c r="Q428" i="18"/>
  <c r="E99" i="20"/>
  <c r="R102" i="18"/>
  <c r="B94" i="20"/>
  <c r="R210" i="17"/>
  <c r="L52" i="19"/>
  <c r="Q105" i="18"/>
  <c r="R12" i="18"/>
  <c r="R48" i="20"/>
  <c r="Q48" i="18"/>
  <c r="R136" i="18"/>
  <c r="R35" i="20"/>
  <c r="B96" i="20"/>
  <c r="S45" i="20"/>
  <c r="Q259" i="18"/>
  <c r="R166" i="18"/>
  <c r="E47" i="19"/>
  <c r="N38" i="20"/>
  <c r="M53" i="20"/>
  <c r="R172" i="18"/>
  <c r="R48" i="18"/>
  <c r="Q383" i="18"/>
  <c r="F94" i="20"/>
  <c r="R107" i="18"/>
  <c r="Q78" i="17"/>
  <c r="Q451" i="18"/>
  <c r="Q303" i="18"/>
  <c r="R57" i="18"/>
  <c r="R196" i="18"/>
  <c r="Q302" i="17"/>
  <c r="R74" i="18"/>
  <c r="G100" i="19"/>
  <c r="R136" i="17"/>
  <c r="R140" i="18"/>
  <c r="Q238" i="18"/>
  <c r="Q386" i="18"/>
  <c r="Q350" i="17"/>
  <c r="R57" i="17"/>
  <c r="R180" i="18"/>
  <c r="D106" i="20"/>
  <c r="Q207" i="17"/>
  <c r="Q355" i="18"/>
  <c r="P46" i="20"/>
  <c r="P42" i="19"/>
  <c r="Q456" i="18"/>
  <c r="R135" i="17"/>
  <c r="Q452" i="18"/>
  <c r="Q46" i="18"/>
  <c r="O41" i="20"/>
  <c r="R17" i="17"/>
  <c r="Q418" i="17"/>
  <c r="Q335" i="18"/>
  <c r="R25" i="18"/>
  <c r="S53" i="20"/>
  <c r="Q352" i="17"/>
  <c r="R117" i="17"/>
  <c r="Q333" i="17"/>
  <c r="R197" i="17"/>
  <c r="Q107" i="17"/>
  <c r="Q398" i="18"/>
  <c r="R149" i="18"/>
  <c r="Q325" i="18"/>
  <c r="S48" i="20"/>
  <c r="R79" i="18"/>
  <c r="K36" i="20"/>
  <c r="C45" i="19"/>
  <c r="R14" i="18"/>
  <c r="S38" i="20"/>
  <c r="R115" i="18"/>
  <c r="R148" i="18"/>
  <c r="Q242" i="18"/>
  <c r="R20" i="17"/>
  <c r="D40" i="19"/>
  <c r="R46" i="17"/>
  <c r="Q228" i="17"/>
  <c r="R53" i="17"/>
  <c r="R112" i="18"/>
  <c r="R135" i="18"/>
  <c r="R103" i="18"/>
  <c r="R44" i="17"/>
  <c r="R77" i="18"/>
  <c r="Q269" i="17"/>
  <c r="Q272" i="18"/>
  <c r="Q17" i="18"/>
  <c r="L36" i="20"/>
  <c r="E111" i="20"/>
  <c r="H96" i="20"/>
  <c r="R176" i="18"/>
  <c r="R138" i="17"/>
  <c r="Q425" i="17"/>
  <c r="Q267" i="18"/>
  <c r="R199" i="18"/>
  <c r="E104" i="20"/>
  <c r="Q241" i="18"/>
  <c r="R172" i="17"/>
  <c r="R181" i="17"/>
  <c r="R146" i="17"/>
  <c r="R209" i="18"/>
  <c r="N46" i="20"/>
  <c r="M46" i="20"/>
  <c r="Q303" i="17"/>
  <c r="Q179" i="17"/>
  <c r="Q37" i="20"/>
  <c r="N51" i="20"/>
  <c r="Q396" i="18"/>
  <c r="R182" i="17"/>
  <c r="Q356" i="17"/>
  <c r="R206" i="17"/>
  <c r="Q292" i="17"/>
  <c r="Q457" i="18"/>
  <c r="R211" i="18"/>
  <c r="O41" i="19"/>
  <c r="R84" i="18"/>
  <c r="Q90" i="17"/>
  <c r="Q336" i="17"/>
  <c r="Q445" i="17"/>
  <c r="R16" i="18"/>
  <c r="R53" i="18"/>
  <c r="Q237" i="18"/>
  <c r="R119" i="18"/>
  <c r="L51" i="19"/>
  <c r="D109" i="20"/>
  <c r="F111" i="20"/>
  <c r="C104" i="20"/>
  <c r="M51" i="19"/>
  <c r="R52" i="20" s="1"/>
  <c r="Q206" i="17"/>
  <c r="Q133" i="17"/>
  <c r="M52" i="19"/>
  <c r="Q383" i="17"/>
  <c r="Q43" i="17"/>
  <c r="R59" i="17"/>
  <c r="Q74" i="17"/>
  <c r="Q75" i="17"/>
  <c r="Q172" i="17"/>
  <c r="R179" i="18"/>
  <c r="L46" i="20"/>
  <c r="R144" i="17"/>
  <c r="Q200" i="17"/>
  <c r="Q201" i="17"/>
  <c r="Q266" i="17"/>
  <c r="Q120" i="17"/>
  <c r="R201" i="18"/>
  <c r="Q40" i="20"/>
  <c r="R175" i="17"/>
  <c r="R180" i="17"/>
  <c r="Q14" i="17"/>
  <c r="Q238" i="17"/>
  <c r="Q73" i="17"/>
  <c r="Q42" i="17"/>
  <c r="Q293" i="18"/>
  <c r="E94" i="20"/>
  <c r="R204" i="18"/>
  <c r="Q72" i="17"/>
  <c r="Q134" i="17"/>
  <c r="R24" i="18"/>
  <c r="C109" i="20"/>
  <c r="Q205" i="17"/>
  <c r="Q257" i="18"/>
  <c r="Q171" i="17"/>
  <c r="K46" i="20"/>
  <c r="M36" i="20"/>
  <c r="R36" i="20" s="1"/>
  <c r="Q361" i="17"/>
  <c r="R195" i="17"/>
  <c r="Q204" i="17"/>
  <c r="R56" i="18"/>
  <c r="Q119" i="17"/>
  <c r="Q452" i="17"/>
  <c r="Q103" i="17"/>
  <c r="Q390" i="18"/>
  <c r="R105" i="17"/>
  <c r="P36" i="19"/>
  <c r="Q165" i="17"/>
  <c r="R26" i="17"/>
  <c r="R104" i="17"/>
  <c r="Q450" i="17"/>
  <c r="R107" i="17"/>
  <c r="Q325" i="17"/>
  <c r="Q385" i="17"/>
  <c r="Q145" i="18"/>
  <c r="S40" i="20"/>
  <c r="N46" i="19"/>
  <c r="Q335" i="17"/>
  <c r="D50" i="19"/>
  <c r="Q57" i="17"/>
  <c r="H45" i="19"/>
  <c r="Q82" i="17"/>
  <c r="Q411" i="17"/>
  <c r="Q302" i="18"/>
  <c r="Q54" i="17"/>
  <c r="Q413" i="17"/>
  <c r="Q17" i="17"/>
  <c r="Q390" i="17"/>
  <c r="R119" i="17"/>
  <c r="Q328" i="17"/>
  <c r="Q230" i="18"/>
  <c r="Q139" i="18"/>
  <c r="M36" i="19"/>
  <c r="R37" i="20" s="1"/>
  <c r="F52" i="19"/>
  <c r="R108" i="17"/>
  <c r="R10" i="17"/>
  <c r="Q235" i="18"/>
  <c r="S51" i="20"/>
  <c r="Q451" i="17"/>
  <c r="Q298" i="17"/>
  <c r="Q113" i="17"/>
  <c r="R207" i="17"/>
  <c r="Q395" i="17"/>
  <c r="Q135" i="17"/>
  <c r="R43" i="17"/>
  <c r="R24" i="17"/>
  <c r="Q240" i="17"/>
  <c r="Q448" i="18"/>
  <c r="Q318" i="18"/>
  <c r="Q14" i="18"/>
  <c r="Q425" i="18"/>
  <c r="Q387" i="17"/>
  <c r="L36" i="19"/>
  <c r="Q56" i="17"/>
  <c r="Q19" i="17"/>
  <c r="Q453" i="17"/>
  <c r="Q115" i="17"/>
  <c r="Q256" i="17"/>
  <c r="Q292" i="18"/>
  <c r="Q109" i="17"/>
  <c r="Q410" i="17"/>
  <c r="Q261" i="17"/>
  <c r="Q262" i="17"/>
  <c r="R82" i="17"/>
  <c r="Q114" i="17"/>
  <c r="Q264" i="17"/>
  <c r="Q80" i="17"/>
  <c r="Q415" i="17"/>
  <c r="Q258" i="17"/>
  <c r="Q148" i="18"/>
  <c r="Q328" i="18"/>
  <c r="R47" i="20"/>
  <c r="Q176" i="18"/>
  <c r="Q11" i="18"/>
  <c r="R50" i="20"/>
  <c r="Q209" i="18"/>
  <c r="Q180" i="17"/>
  <c r="Q144" i="17"/>
  <c r="Q365" i="17"/>
  <c r="Q53" i="17"/>
  <c r="Q197" i="17"/>
  <c r="Q89" i="18"/>
  <c r="Q134" i="18"/>
  <c r="Q271" i="18"/>
  <c r="Q443" i="17"/>
  <c r="R139" i="17"/>
  <c r="Q289" i="17"/>
  <c r="Q58" i="17"/>
  <c r="Q398" i="17"/>
  <c r="R204" i="17"/>
  <c r="Q210" i="17"/>
  <c r="Q166" i="17"/>
  <c r="Q52" i="17"/>
  <c r="Q300" i="17"/>
  <c r="Q319" i="17"/>
  <c r="Q194" i="17"/>
  <c r="Q259" i="17"/>
  <c r="Q412" i="17"/>
  <c r="Q117" i="17"/>
  <c r="Q380" i="18"/>
  <c r="R200" i="18"/>
  <c r="Q304" i="18"/>
  <c r="Q240" i="18"/>
  <c r="Q103" i="18"/>
  <c r="Q43" i="20"/>
  <c r="R27" i="17"/>
  <c r="Q22" i="17"/>
  <c r="R103" i="17"/>
  <c r="C108" i="19"/>
  <c r="R88" i="17"/>
  <c r="Q148" i="17"/>
  <c r="Q141" i="17"/>
  <c r="Q9" i="17"/>
  <c r="Q261" i="18"/>
  <c r="R17" i="18"/>
  <c r="R210" i="18"/>
  <c r="O42" i="19"/>
  <c r="Q321" i="17"/>
  <c r="Q455" i="17"/>
  <c r="Q357" i="17"/>
  <c r="Q15" i="17"/>
  <c r="Q136" i="17"/>
  <c r="Q450" i="18"/>
  <c r="Q323" i="18"/>
  <c r="Q72" i="18"/>
  <c r="Q179" i="18"/>
  <c r="O36" i="19"/>
  <c r="Q82" i="18"/>
  <c r="Q237" i="17"/>
  <c r="F105" i="19"/>
  <c r="R40" i="20"/>
  <c r="R14" i="17"/>
  <c r="Q456" i="17"/>
  <c r="Q88" i="17"/>
  <c r="Q458" i="17"/>
  <c r="R115" i="17"/>
  <c r="Q354" i="17"/>
  <c r="Q120" i="18"/>
  <c r="Q333" i="18"/>
  <c r="Q109" i="18"/>
  <c r="Q79" i="18"/>
  <c r="Q35" i="20"/>
  <c r="R90" i="17"/>
  <c r="Q212" i="17"/>
  <c r="Q267" i="17"/>
  <c r="Q175" i="17"/>
  <c r="R120" i="17"/>
  <c r="Q396" i="17"/>
  <c r="R25" i="17"/>
  <c r="Q392" i="17"/>
  <c r="R166" i="17"/>
  <c r="Q294" i="17"/>
  <c r="Q12" i="17"/>
  <c r="Q412" i="18"/>
  <c r="Q195" i="18"/>
  <c r="Q417" i="18"/>
  <c r="R182" i="18"/>
  <c r="Q172" i="18"/>
  <c r="R22" i="18"/>
  <c r="Q196" i="17"/>
  <c r="Q11" i="17"/>
  <c r="Q85" i="18"/>
  <c r="C48" i="20"/>
  <c r="R149" i="17"/>
  <c r="E108" i="19"/>
  <c r="Q89" i="17"/>
  <c r="C51" i="19"/>
  <c r="Q41" i="17"/>
  <c r="B34" i="19"/>
  <c r="Q273" i="17"/>
  <c r="I51" i="19"/>
  <c r="Q320" i="17"/>
  <c r="K36" i="19"/>
  <c r="Q299" i="18"/>
  <c r="J47" i="20"/>
  <c r="Q227" i="18"/>
  <c r="O53" i="20"/>
  <c r="Q458" i="18"/>
  <c r="J48" i="20"/>
  <c r="Q300" i="18"/>
  <c r="Q392" i="18"/>
  <c r="P47" i="20"/>
  <c r="S47" i="20" s="1"/>
  <c r="Q212" i="18"/>
  <c r="G53" i="20"/>
  <c r="Q113" i="18"/>
  <c r="D46" i="20"/>
  <c r="Q83" i="18"/>
  <c r="C46" i="20"/>
  <c r="Q287" i="17"/>
  <c r="J34" i="19"/>
  <c r="Q199" i="17"/>
  <c r="G39" i="19"/>
  <c r="R83" i="17"/>
  <c r="C103" i="19"/>
  <c r="Q273" i="18"/>
  <c r="I52" i="20"/>
  <c r="R120" i="18"/>
  <c r="D112" i="20"/>
  <c r="R73" i="18"/>
  <c r="C95" i="20"/>
  <c r="Q171" i="18"/>
  <c r="F42" i="20"/>
  <c r="Q443" i="18"/>
  <c r="O38" i="20"/>
  <c r="F105" i="20"/>
  <c r="R175" i="18"/>
  <c r="D97" i="20"/>
  <c r="R105" i="18"/>
  <c r="Q446" i="17"/>
  <c r="O40" i="19"/>
  <c r="Q442" i="18"/>
  <c r="O37" i="20"/>
  <c r="Q289" i="18"/>
  <c r="J37" i="20"/>
  <c r="G46" i="20"/>
  <c r="Q205" i="18"/>
  <c r="F48" i="20"/>
  <c r="Q177" i="18"/>
  <c r="Q20" i="18"/>
  <c r="H46" i="20"/>
  <c r="R80" i="17"/>
  <c r="C100" i="19"/>
  <c r="M40" i="19"/>
  <c r="R41" i="20" s="1"/>
  <c r="Q231" i="17"/>
  <c r="R209" i="17"/>
  <c r="G107" i="19"/>
  <c r="F97" i="19"/>
  <c r="R169" i="17"/>
  <c r="R148" i="17"/>
  <c r="E107" i="19"/>
  <c r="E102" i="19"/>
  <c r="R143" i="17"/>
  <c r="R102" i="17"/>
  <c r="D92" i="19"/>
  <c r="R84" i="17"/>
  <c r="C104" i="19"/>
  <c r="R77" i="17"/>
  <c r="C97" i="19"/>
  <c r="R51" i="17"/>
  <c r="B102" i="19"/>
  <c r="R78" i="17"/>
  <c r="C98" i="19"/>
  <c r="Q151" i="17"/>
  <c r="E52" i="19"/>
  <c r="Q440" i="17"/>
  <c r="O34" i="19"/>
  <c r="Q271" i="17"/>
  <c r="I49" i="19"/>
  <c r="Q176" i="17"/>
  <c r="F46" i="19"/>
  <c r="Q138" i="17"/>
  <c r="E39" i="19"/>
  <c r="Q441" i="17"/>
  <c r="O35" i="19"/>
  <c r="R47" i="17"/>
  <c r="B98" i="19"/>
  <c r="R179" i="17"/>
  <c r="R56" i="17"/>
  <c r="Q44" i="17"/>
  <c r="B37" i="19"/>
  <c r="Q174" i="18"/>
  <c r="F45" i="20"/>
  <c r="R89" i="18"/>
  <c r="C111" i="20"/>
  <c r="Q441" i="18"/>
  <c r="O36" i="20"/>
  <c r="R110" i="18"/>
  <c r="D102" i="20"/>
  <c r="Q58" i="18"/>
  <c r="B52" i="20"/>
  <c r="Q356" i="18"/>
  <c r="Q146" i="18"/>
  <c r="Q15" i="18"/>
  <c r="N43" i="20"/>
  <c r="Q418" i="18"/>
  <c r="B50" i="20"/>
  <c r="Q56" i="18"/>
  <c r="P45" i="19"/>
  <c r="Q391" i="17"/>
  <c r="L45" i="19"/>
  <c r="Q360" i="17"/>
  <c r="K50" i="19"/>
  <c r="Q334" i="17"/>
  <c r="I47" i="20"/>
  <c r="Q268" i="18"/>
  <c r="G43" i="20"/>
  <c r="Q202" i="18"/>
  <c r="B38" i="20"/>
  <c r="Q44" i="18"/>
  <c r="R54" i="17"/>
  <c r="B105" i="19"/>
  <c r="G92" i="19"/>
  <c r="R194" i="17"/>
  <c r="Q46" i="17"/>
  <c r="H99" i="19"/>
  <c r="R16" i="17"/>
  <c r="B103" i="19"/>
  <c r="R52" i="17"/>
  <c r="Q299" i="17"/>
  <c r="J46" i="19"/>
  <c r="Q305" i="18"/>
  <c r="G42" i="20"/>
  <c r="Q201" i="18"/>
  <c r="B41" i="19"/>
  <c r="Q48" i="17"/>
  <c r="R165" i="18"/>
  <c r="F95" i="20"/>
  <c r="Q77" i="18"/>
  <c r="C40" i="20"/>
  <c r="B97" i="20"/>
  <c r="R44" i="18"/>
  <c r="R109" i="18"/>
  <c r="D101" i="20"/>
  <c r="D37" i="20"/>
  <c r="Q104" i="18"/>
  <c r="N45" i="19"/>
  <c r="Q421" i="17"/>
  <c r="Q387" i="18"/>
  <c r="P42" i="20"/>
  <c r="S42" i="20" s="1"/>
  <c r="Q151" i="18"/>
  <c r="E53" i="20"/>
  <c r="H46" i="19"/>
  <c r="Q21" i="17"/>
  <c r="I50" i="19"/>
  <c r="Q272" i="17"/>
  <c r="E92" i="19"/>
  <c r="R133" i="17"/>
  <c r="R74" i="17"/>
  <c r="C94" i="19"/>
  <c r="B100" i="19"/>
  <c r="R49" i="17"/>
  <c r="Q209" i="17"/>
  <c r="G49" i="19"/>
  <c r="E40" i="19"/>
  <c r="Q139" i="17"/>
  <c r="R176" i="17"/>
  <c r="Q87" i="18"/>
  <c r="C50" i="20"/>
  <c r="E37" i="20"/>
  <c r="Q135" i="18"/>
  <c r="Q197" i="18"/>
  <c r="G38" i="20"/>
  <c r="N40" i="19"/>
  <c r="Q416" i="17"/>
  <c r="H45" i="20"/>
  <c r="Q45" i="20" s="1"/>
  <c r="Q19" i="18"/>
  <c r="Q297" i="18"/>
  <c r="Q180" i="18"/>
  <c r="F51" i="20"/>
  <c r="R114" i="17"/>
  <c r="D104" i="19"/>
  <c r="R21" i="17"/>
  <c r="H104" i="19"/>
  <c r="Q359" i="17"/>
  <c r="L44" i="19"/>
  <c r="Q326" i="17"/>
  <c r="K42" i="19"/>
  <c r="Q136" i="18"/>
  <c r="Q420" i="18"/>
  <c r="N45" i="20"/>
  <c r="Q423" i="18"/>
  <c r="N48" i="20"/>
  <c r="D47" i="20"/>
  <c r="Q114" i="18"/>
  <c r="D35" i="20"/>
  <c r="Q102" i="18"/>
  <c r="C41" i="20"/>
  <c r="Q78" i="18"/>
  <c r="Q12" i="18"/>
  <c r="H38" i="20"/>
  <c r="Q38" i="20" s="1"/>
  <c r="Q354" i="18"/>
  <c r="Q294" i="18"/>
  <c r="J42" i="20"/>
  <c r="C43" i="20"/>
  <c r="Q80" i="18"/>
  <c r="Q318" i="17"/>
  <c r="K34" i="19"/>
  <c r="J35" i="19"/>
  <c r="Q288" i="17"/>
  <c r="Q41" i="18"/>
  <c r="B35" i="20"/>
  <c r="Q397" i="18"/>
  <c r="P52" i="20"/>
  <c r="L48" i="20"/>
  <c r="Q362" i="18"/>
  <c r="C105" i="20"/>
  <c r="R83" i="18"/>
  <c r="E52" i="20"/>
  <c r="Q150" i="18"/>
  <c r="Q115" i="18"/>
  <c r="D48" i="20"/>
  <c r="C95" i="19"/>
  <c r="R75" i="17"/>
  <c r="Q330" i="18"/>
  <c r="K47" i="20"/>
  <c r="R113" i="17"/>
  <c r="D103" i="19"/>
  <c r="Q420" i="17"/>
  <c r="N44" i="19"/>
  <c r="Q359" i="18"/>
  <c r="L45" i="20"/>
  <c r="D41" i="20"/>
  <c r="Q108" i="18"/>
  <c r="Q211" i="18"/>
  <c r="G52" i="20"/>
  <c r="Q355" i="17"/>
  <c r="L40" i="19"/>
  <c r="Q241" i="17"/>
  <c r="M50" i="19"/>
  <c r="R51" i="20" s="1"/>
  <c r="C109" i="19"/>
  <c r="R89" i="17"/>
  <c r="Q364" i="17"/>
  <c r="L49" i="19"/>
  <c r="Q102" i="17"/>
  <c r="D34" i="19"/>
  <c r="R170" i="17"/>
  <c r="F98" i="19"/>
  <c r="Q24" i="17"/>
  <c r="H49" i="19"/>
  <c r="R144" i="18"/>
  <c r="E105" i="20"/>
  <c r="Q440" i="18"/>
  <c r="O35" i="20"/>
  <c r="Q24" i="18"/>
  <c r="H50" i="20"/>
  <c r="Q9" i="18"/>
  <c r="R80" i="18"/>
  <c r="H47" i="20"/>
  <c r="Q21" i="18"/>
  <c r="Q330" i="17"/>
  <c r="K46" i="19"/>
  <c r="R54" i="18"/>
  <c r="B107" i="20"/>
  <c r="Q422" i="18"/>
  <c r="N47" i="20"/>
  <c r="R199" i="17"/>
  <c r="G97" i="19"/>
  <c r="Q323" i="17"/>
  <c r="K39" i="19"/>
  <c r="Q174" i="17"/>
  <c r="F44" i="19"/>
  <c r="Q149" i="17"/>
  <c r="E50" i="19"/>
  <c r="Q304" i="17"/>
  <c r="Q167" i="17"/>
  <c r="F37" i="19"/>
  <c r="R140" i="17"/>
  <c r="Q324" i="18"/>
  <c r="K41" i="20"/>
  <c r="Q165" i="18"/>
  <c r="Q225" i="18"/>
  <c r="D52" i="20"/>
  <c r="Q119" i="18"/>
  <c r="Q51" i="18"/>
  <c r="B45" i="20"/>
  <c r="Q361" i="18"/>
  <c r="N35" i="20"/>
  <c r="Q410" i="18"/>
  <c r="E40" i="20"/>
  <c r="Q138" i="18"/>
  <c r="Q182" i="18"/>
  <c r="F53" i="20"/>
  <c r="C38" i="20"/>
  <c r="Q75" i="18"/>
  <c r="Q47" i="18"/>
  <c r="B41" i="20"/>
  <c r="Q10" i="18"/>
  <c r="H36" i="20"/>
  <c r="Q351" i="18"/>
  <c r="L37" i="20"/>
  <c r="Q210" i="18"/>
  <c r="G51" i="20"/>
  <c r="Q140" i="18"/>
  <c r="Q263" i="17"/>
  <c r="I41" i="19"/>
  <c r="Q133" i="18"/>
  <c r="E35" i="20"/>
  <c r="R170" i="18"/>
  <c r="F100" i="20"/>
  <c r="R10" i="18"/>
  <c r="H95" i="20"/>
  <c r="Q54" i="18"/>
  <c r="B48" i="20"/>
  <c r="Q200" i="18"/>
  <c r="G41" i="20"/>
  <c r="Q112" i="18"/>
  <c r="R87" i="17"/>
  <c r="C107" i="19"/>
  <c r="R200" i="17"/>
  <c r="G98" i="19"/>
  <c r="Q397" i="17"/>
  <c r="P51" i="19"/>
  <c r="Q211" i="17"/>
  <c r="G51" i="19"/>
  <c r="Q112" i="17"/>
  <c r="D44" i="19"/>
  <c r="Q104" i="17"/>
  <c r="Q274" i="17"/>
  <c r="I52" i="19"/>
  <c r="R118" i="17"/>
  <c r="D108" i="19"/>
  <c r="R72" i="17"/>
  <c r="Q395" i="18"/>
  <c r="P50" i="20"/>
  <c r="S50" i="20" s="1"/>
  <c r="R75" i="18"/>
  <c r="Q90" i="18"/>
  <c r="C53" i="20"/>
  <c r="Q320" i="18"/>
  <c r="K37" i="20"/>
  <c r="Q204" i="18"/>
  <c r="G45" i="20"/>
  <c r="Q42" i="18"/>
  <c r="R146" i="18"/>
  <c r="E107" i="20"/>
  <c r="R88" i="18"/>
  <c r="C110" i="20"/>
  <c r="Q263" i="18"/>
  <c r="I42" i="20"/>
  <c r="Q73" i="18"/>
  <c r="Q331" i="18"/>
  <c r="K48" i="20"/>
  <c r="R134" i="18"/>
  <c r="Q381" i="17"/>
  <c r="P35" i="19"/>
  <c r="S36" i="20" s="1"/>
  <c r="Q385" i="18"/>
  <c r="Q149" i="18"/>
  <c r="E51" i="20"/>
  <c r="Q59" i="18"/>
  <c r="B53" i="20"/>
  <c r="Q22" i="18"/>
  <c r="H48" i="20"/>
  <c r="Q48" i="20" s="1"/>
  <c r="Q256" i="18"/>
  <c r="Q25" i="18"/>
  <c r="H51" i="20"/>
  <c r="Q51" i="20" s="1"/>
  <c r="R196" i="17"/>
  <c r="G94" i="19"/>
  <c r="R112" i="17"/>
  <c r="D102" i="19"/>
  <c r="R165" i="17"/>
  <c r="F93" i="19"/>
  <c r="R19" i="17"/>
  <c r="H102" i="19"/>
  <c r="R22" i="17"/>
  <c r="H105" i="19"/>
  <c r="Q164" i="18"/>
  <c r="F35" i="20"/>
  <c r="Q43" i="18"/>
  <c r="B37" i="20"/>
  <c r="R90" i="18"/>
  <c r="C112" i="20"/>
  <c r="Q329" i="17"/>
  <c r="K45" i="19"/>
  <c r="Q27" i="18"/>
  <c r="H53" i="20"/>
  <c r="R164" i="17"/>
  <c r="F92" i="19"/>
  <c r="R145" i="17"/>
  <c r="E104" i="19"/>
  <c r="R41" i="17"/>
  <c r="B92" i="19"/>
  <c r="Q235" i="17"/>
  <c r="M44" i="19"/>
  <c r="R45" i="20" s="1"/>
  <c r="Q140" i="17"/>
  <c r="E41" i="19"/>
  <c r="Q51" i="17"/>
  <c r="B44" i="19"/>
  <c r="Q105" i="17"/>
  <c r="D37" i="19"/>
  <c r="R9" i="17"/>
  <c r="H92" i="19"/>
  <c r="R12" i="17"/>
  <c r="H95" i="19"/>
  <c r="Q226" i="17"/>
  <c r="Q77" i="17"/>
  <c r="Q10" i="17"/>
  <c r="H35" i="19"/>
  <c r="Q194" i="18"/>
  <c r="G35" i="20"/>
  <c r="Q117" i="18"/>
  <c r="D50" i="20"/>
  <c r="R52" i="18"/>
  <c r="B105" i="20"/>
  <c r="Q365" i="18"/>
  <c r="L51" i="20"/>
  <c r="R205" i="18"/>
  <c r="G105" i="20"/>
  <c r="Q196" i="18"/>
  <c r="G37" i="20"/>
  <c r="Q107" i="18"/>
  <c r="D40" i="20"/>
  <c r="Q144" i="18"/>
  <c r="E46" i="20"/>
  <c r="R9" i="18"/>
  <c r="H94" i="20"/>
  <c r="Q393" i="18"/>
  <c r="Q207" i="18"/>
  <c r="G48" i="20"/>
  <c r="R145" i="18"/>
  <c r="E106" i="20"/>
  <c r="R47" i="18"/>
  <c r="R167" i="18"/>
  <c r="F97" i="20"/>
  <c r="Q426" i="17"/>
  <c r="N50" i="19"/>
  <c r="Q415" i="18"/>
  <c r="Q382" i="18"/>
  <c r="P37" i="20"/>
  <c r="Q199" i="18"/>
  <c r="Q49" i="18"/>
  <c r="B43" i="20"/>
  <c r="Q447" i="18"/>
  <c r="O42" i="20"/>
  <c r="Q293" i="17"/>
  <c r="J40" i="19"/>
  <c r="Q257" i="17"/>
  <c r="I35" i="19"/>
  <c r="Q236" i="17"/>
  <c r="M45" i="19"/>
  <c r="R58" i="17"/>
  <c r="B109" i="19"/>
  <c r="R11" i="17"/>
  <c r="H94" i="19"/>
  <c r="H98" i="19"/>
  <c r="R15" i="17"/>
  <c r="Q87" i="17"/>
  <c r="C49" i="19"/>
  <c r="R19" i="18"/>
  <c r="H104" i="20"/>
  <c r="Q167" i="18"/>
  <c r="F38" i="20"/>
  <c r="Q386" i="17"/>
  <c r="P40" i="19"/>
  <c r="S41" i="20" s="1"/>
  <c r="Q258" i="18"/>
  <c r="I37" i="20"/>
  <c r="Q57" i="18"/>
  <c r="B51" i="20"/>
  <c r="R174" i="17"/>
  <c r="F102" i="19"/>
  <c r="Q380" i="17"/>
  <c r="P34" i="19"/>
  <c r="S35" i="20" s="1"/>
  <c r="R42" i="17"/>
  <c r="B93" i="19"/>
  <c r="Q324" i="17"/>
  <c r="K40" i="19"/>
  <c r="Q27" i="17"/>
  <c r="H52" i="19"/>
  <c r="Q164" i="17"/>
  <c r="F34" i="19"/>
  <c r="Q150" i="17"/>
  <c r="E51" i="19"/>
  <c r="R48" i="17"/>
  <c r="R73" i="17"/>
  <c r="Q364" i="18"/>
  <c r="L50" i="20"/>
  <c r="R108" i="18"/>
  <c r="D100" i="20"/>
  <c r="Q287" i="18"/>
  <c r="J35" i="20"/>
  <c r="Q143" i="18"/>
  <c r="E45" i="20"/>
  <c r="Q288" i="18"/>
  <c r="J36" i="20"/>
  <c r="R78" i="18"/>
  <c r="C100" i="20"/>
  <c r="Q26" i="18"/>
  <c r="H52" i="20"/>
  <c r="Q52" i="20" s="1"/>
  <c r="Q52" i="18"/>
  <c r="B46" i="20"/>
  <c r="Q269" i="18"/>
  <c r="R85" i="18"/>
  <c r="R42" i="18"/>
  <c r="Q170" i="18"/>
  <c r="F41" i="20"/>
  <c r="Q366" i="18"/>
  <c r="L52" i="20"/>
  <c r="R109" i="17"/>
  <c r="D99" i="19"/>
  <c r="R79" i="17"/>
  <c r="C99" i="19"/>
  <c r="R53" i="20" l="1"/>
  <c r="R46" i="20"/>
  <c r="S37" i="20"/>
  <c r="S46" i="20"/>
  <c r="F52" i="20"/>
  <c r="Q181" i="18"/>
  <c r="F37" i="20"/>
  <c r="Q166" i="18"/>
  <c r="G109" i="19"/>
  <c r="R211" i="17"/>
  <c r="P43" i="20"/>
  <c r="S43" i="20" s="1"/>
  <c r="Q388" i="18"/>
  <c r="O50" i="20"/>
  <c r="Q455" i="18"/>
  <c r="Q427" i="17"/>
  <c r="N51" i="19"/>
  <c r="M41" i="19"/>
  <c r="R42" i="20" s="1"/>
  <c r="Q232" i="17"/>
  <c r="Q195" i="17"/>
  <c r="G35" i="19"/>
  <c r="J37" i="19"/>
  <c r="Q290" i="17"/>
  <c r="D51" i="20"/>
  <c r="Q118" i="18"/>
  <c r="C51" i="20"/>
  <c r="Q88" i="18"/>
  <c r="D43" i="20"/>
  <c r="Q110" i="18"/>
  <c r="N52" i="20"/>
  <c r="Q427" i="18"/>
  <c r="F46" i="20"/>
  <c r="Q175" i="18"/>
  <c r="E109" i="19"/>
  <c r="R150" i="17"/>
  <c r="H42" i="20"/>
  <c r="Q42" i="20" s="1"/>
  <c r="Q16" i="18"/>
  <c r="F99" i="19"/>
  <c r="R171" i="17"/>
  <c r="Q206" i="18"/>
  <c r="R59" i="18"/>
  <c r="Q170" i="17"/>
  <c r="Q233" i="18"/>
  <c r="Q423" i="17"/>
  <c r="R201" i="17"/>
  <c r="R167" i="17"/>
  <c r="Q169" i="17"/>
  <c r="Q26" i="17"/>
  <c r="R27" i="18"/>
  <c r="Q169" i="18"/>
  <c r="Q84" i="17"/>
  <c r="E110" i="19"/>
  <c r="R118" i="18"/>
  <c r="Q46" i="20"/>
  <c r="Q47" i="20"/>
  <c r="S52" i="20"/>
  <c r="Q53" i="20"/>
  <c r="Q36" i="20"/>
  <c r="Q50" i="20"/>
  <c r="D35" i="16"/>
  <c r="T26" i="16"/>
  <c r="AB32" i="16"/>
  <c r="Q12" i="16"/>
  <c r="L74" i="16"/>
  <c r="K14" i="16"/>
  <c r="D15" i="16"/>
  <c r="I32" i="16"/>
  <c r="G74" i="16"/>
  <c r="V30" i="16"/>
  <c r="E15" i="16"/>
  <c r="AB17" i="16"/>
  <c r="P14" i="16"/>
  <c r="AB37" i="16"/>
  <c r="G6" i="16"/>
  <c r="X28" i="16"/>
  <c r="E69" i="16"/>
  <c r="AA13" i="16"/>
  <c r="L55" i="16"/>
  <c r="R35" i="16"/>
  <c r="AG9" i="16"/>
  <c r="R20" i="16"/>
  <c r="E52" i="16"/>
  <c r="J11" i="16"/>
  <c r="P41" i="16"/>
  <c r="AD6" i="16"/>
  <c r="AC16" i="16"/>
  <c r="P39" i="16"/>
  <c r="C9" i="16"/>
  <c r="AD17" i="16"/>
  <c r="J26" i="16"/>
  <c r="AD12" i="16"/>
  <c r="S29" i="16"/>
  <c r="V35" i="16"/>
  <c r="G8" i="16"/>
  <c r="P20" i="16"/>
  <c r="D59" i="16"/>
  <c r="AA35" i="16"/>
  <c r="N41" i="16"/>
  <c r="P8" i="16"/>
  <c r="B60" i="16"/>
  <c r="AA20" i="16"/>
  <c r="Q77" i="16"/>
  <c r="O71" i="16"/>
  <c r="M18" i="16"/>
  <c r="Z17" i="16"/>
  <c r="U7" i="16"/>
  <c r="R5" i="16"/>
  <c r="AA36" i="16"/>
  <c r="D61" i="16"/>
  <c r="B15" i="16"/>
  <c r="K29" i="16"/>
  <c r="B48" i="16"/>
  <c r="H40" i="16"/>
  <c r="X36" i="16"/>
  <c r="B14" i="16"/>
  <c r="AD39" i="16"/>
  <c r="T41" i="16"/>
  <c r="Y29" i="16"/>
  <c r="L59" i="16"/>
  <c r="J31" i="16"/>
  <c r="Q8" i="16"/>
  <c r="AG26" i="16"/>
  <c r="P71" i="16"/>
  <c r="G36" i="16"/>
  <c r="I51" i="16"/>
  <c r="Q78" i="16"/>
  <c r="P77" i="16"/>
  <c r="AB38" i="16"/>
  <c r="Y12" i="16"/>
  <c r="S18" i="16"/>
  <c r="S33" i="16"/>
  <c r="X14" i="16"/>
  <c r="AB11" i="16"/>
  <c r="AA39" i="16"/>
  <c r="R17" i="16"/>
  <c r="X10" i="16"/>
  <c r="M19" i="16"/>
  <c r="U28" i="16"/>
  <c r="AC27" i="16"/>
  <c r="G27" i="16"/>
  <c r="Q10" i="16"/>
  <c r="Y26" i="16"/>
  <c r="T33" i="16"/>
  <c r="P52" i="16"/>
  <c r="AF39" i="16"/>
  <c r="H9" i="16"/>
  <c r="O56" i="16"/>
  <c r="W38" i="16"/>
  <c r="P18" i="16"/>
  <c r="I33" i="16"/>
  <c r="N77" i="16"/>
  <c r="R39" i="16"/>
  <c r="P70" i="16"/>
  <c r="I68" i="16"/>
  <c r="AE10" i="16"/>
  <c r="L68" i="16"/>
  <c r="H17" i="16"/>
  <c r="Z19" i="16"/>
  <c r="K40" i="16"/>
  <c r="K49" i="16"/>
  <c r="B11" i="16"/>
  <c r="H6" i="16"/>
  <c r="D74" i="16"/>
  <c r="T36" i="16"/>
  <c r="AA11" i="16"/>
  <c r="H29" i="16"/>
  <c r="Z16" i="16"/>
  <c r="Q36" i="16"/>
  <c r="R10" i="16"/>
  <c r="N12" i="16"/>
  <c r="Q83" i="16"/>
  <c r="Q60" i="16"/>
  <c r="B19" i="16"/>
  <c r="I37" i="16"/>
  <c r="D72" i="16"/>
  <c r="B26" i="16"/>
  <c r="K50" i="16"/>
  <c r="L11" i="16"/>
  <c r="E76" i="16"/>
  <c r="D28" i="16"/>
  <c r="P40" i="16"/>
  <c r="E26" i="16"/>
  <c r="H78" i="16"/>
  <c r="S14" i="16"/>
  <c r="O59" i="16"/>
  <c r="E38" i="16"/>
  <c r="Z41" i="16"/>
  <c r="J61" i="16"/>
  <c r="F7" i="16"/>
  <c r="O38" i="16"/>
  <c r="D77" i="16"/>
  <c r="J53" i="16"/>
  <c r="B83" i="16"/>
  <c r="V14" i="16"/>
  <c r="M55" i="16"/>
  <c r="I30" i="16"/>
  <c r="T19" i="16"/>
  <c r="N38" i="16"/>
  <c r="E29" i="16"/>
  <c r="S37" i="16"/>
  <c r="D20" i="16"/>
  <c r="E30" i="16"/>
  <c r="AG31" i="16"/>
  <c r="AD29" i="16"/>
  <c r="AE29" i="16"/>
  <c r="C52" i="16"/>
  <c r="C10" i="16"/>
  <c r="V10" i="16"/>
  <c r="K5" i="16"/>
  <c r="G17" i="16"/>
  <c r="J62" i="16"/>
  <c r="W18" i="16"/>
  <c r="AB18" i="16"/>
  <c r="G13" i="16"/>
  <c r="AE34" i="16"/>
  <c r="N11" i="16"/>
  <c r="B74" i="16"/>
  <c r="M32" i="16"/>
  <c r="H69" i="16"/>
  <c r="X32" i="16"/>
  <c r="W33" i="16"/>
  <c r="D55" i="16"/>
  <c r="L28" i="16"/>
  <c r="T13" i="16"/>
  <c r="N48" i="16"/>
  <c r="U30" i="16"/>
  <c r="U10" i="16"/>
  <c r="M5" i="16"/>
  <c r="M82" i="16"/>
  <c r="I74" i="16"/>
  <c r="P82" i="16"/>
  <c r="AB6" i="16"/>
  <c r="O52" i="16"/>
  <c r="AF13" i="16"/>
  <c r="AB9" i="16"/>
  <c r="AF9" i="16"/>
  <c r="D78" i="16"/>
  <c r="I9" i="16"/>
  <c r="T11" i="16"/>
  <c r="D32" i="16"/>
  <c r="R9" i="16"/>
  <c r="D34" i="16"/>
  <c r="P19" i="16"/>
  <c r="O6" i="16"/>
  <c r="K10" i="16"/>
  <c r="K54" i="16"/>
  <c r="P59" i="16"/>
  <c r="N69" i="16"/>
  <c r="M71" i="16"/>
  <c r="M9" i="16"/>
  <c r="G30" i="16"/>
  <c r="D51" i="16"/>
  <c r="V32" i="16"/>
  <c r="T40" i="16"/>
  <c r="S15" i="16"/>
  <c r="G81" i="16"/>
  <c r="D82" i="16"/>
  <c r="M20" i="16"/>
  <c r="I75" i="16"/>
  <c r="K47" i="16"/>
  <c r="I79" i="16"/>
  <c r="P31" i="16"/>
  <c r="F58" i="16"/>
  <c r="V11" i="16"/>
  <c r="V39" i="16"/>
  <c r="R34" i="16"/>
  <c r="P60" i="16"/>
  <c r="W37" i="16"/>
  <c r="AC7" i="16"/>
  <c r="G80" i="16"/>
  <c r="W6" i="16"/>
  <c r="C56" i="16"/>
  <c r="H26" i="16"/>
  <c r="W13" i="16"/>
  <c r="K8" i="16"/>
  <c r="H81" i="16"/>
  <c r="C30" i="16"/>
  <c r="D33" i="16"/>
  <c r="G60" i="16"/>
  <c r="V7" i="16"/>
  <c r="L56" i="16"/>
  <c r="AB7" i="16"/>
  <c r="Q69" i="16"/>
  <c r="B81" i="16"/>
  <c r="AE36" i="16"/>
  <c r="N83" i="16"/>
  <c r="AC14" i="16"/>
  <c r="E39" i="16"/>
  <c r="Q41" i="16"/>
  <c r="B72" i="16"/>
  <c r="V29" i="16"/>
  <c r="P48" i="16"/>
  <c r="M77" i="16"/>
  <c r="AE27" i="16"/>
  <c r="F83" i="16"/>
  <c r="O8" i="16"/>
  <c r="E55" i="16"/>
  <c r="G50" i="16"/>
  <c r="J12" i="16"/>
  <c r="B41" i="16"/>
  <c r="M50" i="16"/>
  <c r="O55" i="16"/>
  <c r="V18" i="16"/>
  <c r="T37" i="16"/>
  <c r="AG18" i="16"/>
  <c r="I14" i="16"/>
  <c r="AF32" i="16"/>
  <c r="Q15" i="16"/>
  <c r="D73" i="16"/>
  <c r="AA29" i="16"/>
  <c r="D53" i="16"/>
  <c r="M70" i="16"/>
  <c r="Q56" i="16"/>
  <c r="C32" i="16"/>
  <c r="AE6" i="16"/>
  <c r="F9" i="16"/>
  <c r="H28" i="16"/>
  <c r="AA33" i="16"/>
  <c r="N58" i="16"/>
  <c r="AC20" i="16"/>
  <c r="B77" i="16"/>
  <c r="F53" i="16"/>
  <c r="L30" i="16"/>
  <c r="O30" i="16"/>
  <c r="F35" i="16"/>
  <c r="B33" i="16"/>
  <c r="J73" i="16"/>
  <c r="AF14" i="16"/>
  <c r="J76" i="16"/>
  <c r="D57" i="16"/>
  <c r="AB30" i="16"/>
  <c r="S38" i="16"/>
  <c r="T5" i="16"/>
  <c r="X27" i="16"/>
  <c r="S13" i="16"/>
  <c r="U38" i="16"/>
  <c r="Z9" i="16"/>
  <c r="AE35" i="16"/>
  <c r="K33" i="16"/>
  <c r="G77" i="16"/>
  <c r="N56" i="16"/>
  <c r="AF40" i="16"/>
  <c r="P15" i="16"/>
  <c r="C51" i="16"/>
  <c r="G61" i="16"/>
  <c r="K57" i="16"/>
  <c r="E37" i="16"/>
  <c r="H38" i="16"/>
  <c r="AB16" i="16"/>
  <c r="AG37" i="16"/>
  <c r="I54" i="16"/>
  <c r="C49" i="16"/>
  <c r="F55" i="16"/>
  <c r="T34" i="16"/>
  <c r="I61" i="16"/>
  <c r="Z6" i="16"/>
  <c r="L17" i="16"/>
  <c r="U35" i="16"/>
  <c r="P9" i="16"/>
  <c r="B69" i="16"/>
  <c r="F72" i="16"/>
  <c r="AC17" i="16"/>
  <c r="D47" i="16"/>
  <c r="AC9" i="16"/>
  <c r="AA34" i="16"/>
  <c r="AA28" i="16"/>
  <c r="V5" i="16"/>
  <c r="J13" i="16"/>
  <c r="O51" i="16"/>
  <c r="E14" i="16"/>
  <c r="J18" i="16"/>
  <c r="C15" i="16"/>
  <c r="S10" i="16"/>
  <c r="Q74" i="16"/>
  <c r="X41" i="16"/>
  <c r="R15" i="16"/>
  <c r="W32" i="16"/>
  <c r="Q18" i="16"/>
  <c r="W7" i="16"/>
  <c r="Q14" i="16"/>
  <c r="K75" i="16"/>
  <c r="G26" i="16"/>
  <c r="E34" i="16"/>
  <c r="Q73" i="16"/>
  <c r="AD41" i="16"/>
  <c r="E50" i="16"/>
  <c r="AC29" i="16"/>
  <c r="M7" i="16"/>
  <c r="AC31" i="16"/>
  <c r="N31" i="16"/>
  <c r="F61" i="16"/>
  <c r="T10" i="16"/>
  <c r="Y38" i="16"/>
  <c r="AB13" i="16"/>
  <c r="Q79" i="16"/>
  <c r="L37" i="16"/>
  <c r="C80" i="16"/>
  <c r="N26" i="16"/>
  <c r="I47" i="16"/>
  <c r="Q16" i="16"/>
  <c r="F16" i="16"/>
  <c r="J39" i="16"/>
  <c r="Z27" i="16"/>
  <c r="N7" i="16"/>
  <c r="G28" i="16"/>
  <c r="G48" i="16"/>
  <c r="Q76" i="16"/>
  <c r="K55" i="16"/>
  <c r="U26" i="16"/>
  <c r="J34" i="16"/>
  <c r="U12" i="16"/>
  <c r="L50" i="16"/>
  <c r="L60" i="16"/>
  <c r="Q72" i="16"/>
  <c r="L58" i="16"/>
  <c r="B47" i="16"/>
  <c r="R38" i="16"/>
  <c r="H55" i="16"/>
  <c r="D17" i="16"/>
  <c r="E77" i="16"/>
  <c r="M51" i="16"/>
  <c r="P33" i="16"/>
  <c r="AF41" i="16"/>
  <c r="M73" i="16"/>
  <c r="E73" i="16"/>
  <c r="G76" i="16"/>
  <c r="E12" i="16"/>
  <c r="AB12" i="16"/>
  <c r="I69" i="16"/>
  <c r="N33" i="16"/>
  <c r="I18" i="16"/>
  <c r="D40" i="16"/>
  <c r="AC5" i="16"/>
  <c r="P74" i="16"/>
  <c r="O77" i="16"/>
  <c r="O54" i="16"/>
  <c r="F68" i="16"/>
  <c r="L72" i="16"/>
  <c r="I10" i="16"/>
  <c r="O80" i="16"/>
  <c r="N13" i="16"/>
  <c r="C68" i="16"/>
  <c r="N35" i="16"/>
  <c r="AA30" i="16"/>
  <c r="D68" i="16"/>
  <c r="I17" i="16"/>
  <c r="AD40" i="16"/>
  <c r="K36" i="16"/>
  <c r="E72" i="16"/>
  <c r="AE5" i="16"/>
  <c r="X19" i="16"/>
  <c r="O35" i="16"/>
  <c r="W30" i="16"/>
  <c r="AD26" i="16"/>
  <c r="AG36" i="16"/>
  <c r="W36" i="16"/>
  <c r="AB26" i="16"/>
  <c r="C18" i="16"/>
  <c r="U15" i="16"/>
  <c r="Y13" i="16"/>
  <c r="K78" i="16"/>
  <c r="L81" i="16"/>
  <c r="J27" i="16"/>
  <c r="V26" i="16"/>
  <c r="N80" i="16"/>
  <c r="M81" i="16"/>
  <c r="J72" i="16"/>
  <c r="C40" i="16"/>
  <c r="M52" i="16"/>
  <c r="X15" i="16"/>
  <c r="X7" i="16"/>
  <c r="J52" i="16"/>
  <c r="B82" i="16"/>
  <c r="H80" i="16"/>
  <c r="H49" i="16"/>
  <c r="I31" i="16"/>
  <c r="C59" i="16"/>
  <c r="N37" i="16"/>
  <c r="F60" i="16"/>
  <c r="W39" i="16"/>
  <c r="G57" i="16"/>
  <c r="W35" i="16"/>
  <c r="I39" i="16"/>
  <c r="H70" i="16"/>
  <c r="AB27" i="16"/>
  <c r="U40" i="16"/>
  <c r="C53" i="16"/>
  <c r="D56" i="16"/>
  <c r="Y39" i="16"/>
  <c r="AA27" i="16"/>
  <c r="O36" i="16"/>
  <c r="G73" i="16"/>
  <c r="L53" i="16"/>
  <c r="L69" i="16"/>
  <c r="B34" i="16"/>
  <c r="O68" i="16"/>
  <c r="S36" i="16"/>
  <c r="C73" i="16"/>
  <c r="Y17" i="16"/>
  <c r="J57" i="16"/>
  <c r="G47" i="16"/>
  <c r="U11" i="16"/>
  <c r="J82" i="16"/>
  <c r="Z31" i="16"/>
  <c r="T9" i="16"/>
  <c r="C70" i="16"/>
  <c r="Z37" i="16"/>
  <c r="O81" i="16"/>
  <c r="M72" i="16"/>
  <c r="V36" i="16"/>
  <c r="AC15" i="16"/>
  <c r="H34" i="16"/>
  <c r="N9" i="16"/>
  <c r="D54" i="16"/>
  <c r="P50" i="16"/>
  <c r="M61" i="16"/>
  <c r="G70" i="16"/>
  <c r="AE33" i="16"/>
  <c r="AE14" i="16"/>
  <c r="O32" i="16"/>
  <c r="D6" i="16"/>
  <c r="N59" i="16"/>
  <c r="U27" i="16"/>
  <c r="Q81" i="16"/>
  <c r="K53" i="16"/>
  <c r="C82" i="16"/>
  <c r="E75" i="16"/>
  <c r="AE11" i="16"/>
  <c r="J20" i="16"/>
  <c r="AC32" i="16"/>
  <c r="N27" i="16"/>
  <c r="X8" i="16"/>
  <c r="Q82" i="16"/>
  <c r="M35" i="16"/>
  <c r="C58" i="16"/>
  <c r="J36" i="16"/>
  <c r="N78" i="16"/>
  <c r="Q33" i="16"/>
  <c r="G37" i="16"/>
  <c r="D9" i="16"/>
  <c r="J40" i="16"/>
  <c r="F50" i="16"/>
  <c r="I59" i="16"/>
  <c r="K81" i="16"/>
  <c r="AA10" i="16"/>
  <c r="K27" i="16"/>
  <c r="S41" i="16"/>
  <c r="D37" i="16"/>
  <c r="Y36" i="16"/>
  <c r="I8" i="16"/>
  <c r="K77" i="16"/>
  <c r="D7" i="16"/>
  <c r="O26" i="16"/>
  <c r="AD32" i="16"/>
  <c r="H48" i="16"/>
  <c r="AG17" i="16"/>
  <c r="T6" i="16"/>
  <c r="Q11" i="16"/>
  <c r="E59" i="16"/>
  <c r="M76" i="16"/>
  <c r="V13" i="16"/>
  <c r="R18" i="16"/>
  <c r="L10" i="16"/>
  <c r="K9" i="16"/>
  <c r="AC8" i="16"/>
  <c r="P16" i="16"/>
  <c r="D76" i="16"/>
  <c r="F26" i="16"/>
  <c r="Q54" i="16"/>
  <c r="B37" i="16"/>
  <c r="T31" i="16"/>
  <c r="C35" i="16"/>
  <c r="AD7" i="16"/>
  <c r="R32" i="16"/>
  <c r="L36" i="16"/>
  <c r="T18" i="16"/>
  <c r="P62" i="16"/>
  <c r="O60" i="16"/>
  <c r="E35" i="16"/>
  <c r="H35" i="16"/>
  <c r="J49" i="16"/>
  <c r="C27" i="16"/>
  <c r="P5" i="16"/>
  <c r="C33" i="16"/>
  <c r="D71" i="16"/>
  <c r="M78" i="16"/>
  <c r="AB19" i="16"/>
  <c r="E7" i="16"/>
  <c r="AG39" i="16"/>
  <c r="X34" i="16"/>
  <c r="U41" i="16"/>
  <c r="S12" i="16"/>
  <c r="S11" i="16"/>
  <c r="I12" i="16"/>
  <c r="D52" i="16"/>
  <c r="M33" i="16"/>
  <c r="J33" i="16"/>
  <c r="K31" i="16"/>
  <c r="W19" i="16"/>
  <c r="N10" i="16"/>
  <c r="C74" i="16"/>
  <c r="AE28" i="16"/>
  <c r="M48" i="16"/>
  <c r="H8" i="16"/>
  <c r="Q30" i="16"/>
  <c r="D50" i="16"/>
  <c r="F82" i="16"/>
  <c r="B73" i="16"/>
  <c r="E6" i="16"/>
  <c r="L7" i="16"/>
  <c r="O9" i="16"/>
  <c r="U5" i="16"/>
  <c r="I7" i="16"/>
  <c r="K19" i="16"/>
  <c r="L13" i="16"/>
  <c r="C17" i="16"/>
  <c r="L32" i="16"/>
  <c r="Q34" i="16"/>
  <c r="P28" i="16"/>
  <c r="M17" i="16"/>
  <c r="H47" i="16"/>
  <c r="K73" i="16"/>
  <c r="K35" i="16"/>
  <c r="W20" i="16"/>
  <c r="P57" i="16"/>
  <c r="D12" i="16"/>
  <c r="N20" i="16"/>
  <c r="H77" i="16"/>
  <c r="M68" i="16"/>
  <c r="D29" i="16"/>
  <c r="J38" i="16"/>
  <c r="Y20" i="16"/>
  <c r="Q39" i="16"/>
  <c r="E68" i="16"/>
  <c r="L52" i="16"/>
  <c r="L78" i="16"/>
  <c r="W10" i="16"/>
  <c r="Q13" i="16"/>
  <c r="B80" i="16"/>
  <c r="X29" i="16"/>
  <c r="AE39" i="16"/>
  <c r="G75" i="16"/>
  <c r="AD28" i="16"/>
  <c r="O76" i="16"/>
  <c r="C13" i="16"/>
  <c r="R29" i="16"/>
  <c r="AC33" i="16"/>
  <c r="AF16" i="16"/>
  <c r="U8" i="16"/>
  <c r="Z8" i="16"/>
  <c r="M74" i="16"/>
  <c r="AB29" i="16"/>
  <c r="AA37" i="16"/>
  <c r="B52" i="16"/>
  <c r="X17" i="16"/>
  <c r="P79" i="16"/>
  <c r="W28" i="16"/>
  <c r="U17" i="16"/>
  <c r="W29" i="16"/>
  <c r="L26" i="16"/>
  <c r="F69" i="16"/>
  <c r="N53" i="16"/>
  <c r="E27" i="16"/>
  <c r="C77" i="16"/>
  <c r="O33" i="16"/>
  <c r="B32" i="16"/>
  <c r="N5" i="16"/>
  <c r="E80" i="16"/>
  <c r="N51" i="16"/>
  <c r="M69" i="16"/>
  <c r="Q6" i="16"/>
  <c r="Z11" i="16"/>
  <c r="AD38" i="16"/>
  <c r="B16" i="16"/>
  <c r="AD35" i="16"/>
  <c r="F32" i="16"/>
  <c r="C47" i="16"/>
  <c r="U9" i="16"/>
  <c r="N39" i="16"/>
  <c r="J68" i="16"/>
  <c r="N75" i="16"/>
  <c r="L61" i="16"/>
  <c r="F5" i="16"/>
  <c r="B55" i="16"/>
  <c r="L16" i="16"/>
  <c r="M56" i="16"/>
  <c r="P53" i="16"/>
  <c r="AC11" i="16"/>
  <c r="F62" i="16"/>
  <c r="E61" i="16"/>
  <c r="C48" i="16"/>
  <c r="H36" i="16"/>
  <c r="AD37" i="16"/>
  <c r="I34" i="16"/>
  <c r="M28" i="16"/>
  <c r="P51" i="16"/>
  <c r="AC39" i="16"/>
  <c r="C78" i="16"/>
  <c r="O83" i="16"/>
  <c r="B49" i="16"/>
  <c r="J79" i="16"/>
  <c r="N73" i="16"/>
  <c r="S26" i="16"/>
  <c r="AE12" i="16"/>
  <c r="D19" i="16"/>
  <c r="H60" i="16"/>
  <c r="U13" i="16"/>
  <c r="E8" i="16"/>
  <c r="K37" i="16"/>
  <c r="AA6" i="16"/>
  <c r="N54" i="16"/>
  <c r="O58" i="16"/>
  <c r="B50" i="16"/>
  <c r="E16" i="16"/>
  <c r="U33" i="16"/>
  <c r="AB36" i="16"/>
  <c r="G71" i="16"/>
  <c r="T39" i="16"/>
  <c r="S5" i="16"/>
  <c r="B31" i="16"/>
  <c r="G52" i="16"/>
  <c r="C79" i="16"/>
  <c r="F48" i="16"/>
  <c r="H74" i="16"/>
  <c r="B53" i="16"/>
  <c r="M30" i="16"/>
  <c r="Y33" i="16"/>
  <c r="D69" i="16"/>
  <c r="X30" i="16"/>
  <c r="F8" i="16"/>
  <c r="I81" i="16"/>
  <c r="E18" i="16"/>
  <c r="R16" i="16"/>
  <c r="AD11" i="16"/>
  <c r="Z18" i="16"/>
  <c r="W40" i="16"/>
  <c r="E20" i="16"/>
  <c r="H10" i="16"/>
  <c r="AF5" i="16"/>
  <c r="K71" i="16"/>
  <c r="E33" i="16"/>
  <c r="G10" i="16"/>
  <c r="AC41" i="16"/>
  <c r="C81" i="16"/>
  <c r="I38" i="16"/>
  <c r="AB14" i="16"/>
  <c r="B13" i="16"/>
  <c r="N72" i="16"/>
  <c r="R26" i="16"/>
  <c r="B28" i="16"/>
  <c r="M60" i="16"/>
  <c r="E48" i="16"/>
  <c r="O74" i="16"/>
  <c r="W8" i="16"/>
  <c r="H71" i="16"/>
  <c r="AC40" i="16"/>
  <c r="W15" i="16"/>
  <c r="F74" i="16"/>
  <c r="L75" i="16"/>
  <c r="L8" i="16"/>
  <c r="W11" i="16"/>
  <c r="F52" i="16"/>
  <c r="Z30" i="16"/>
  <c r="E9" i="16"/>
  <c r="O15" i="16"/>
  <c r="V9" i="16"/>
  <c r="Q9" i="16"/>
  <c r="G35" i="16"/>
  <c r="O78" i="16"/>
  <c r="AG41" i="16"/>
  <c r="B58" i="16"/>
  <c r="AG10" i="16"/>
  <c r="O28" i="16"/>
  <c r="D8" i="16"/>
  <c r="F73" i="16"/>
  <c r="E83" i="16"/>
  <c r="I15" i="16"/>
  <c r="AG13" i="16"/>
  <c r="I52" i="16"/>
  <c r="Q7" i="16"/>
  <c r="Y40" i="16"/>
  <c r="H76" i="16"/>
  <c r="I35" i="16"/>
  <c r="P73" i="16"/>
  <c r="E57" i="16"/>
  <c r="L20" i="16"/>
  <c r="P38" i="16"/>
  <c r="AC28" i="16"/>
  <c r="I57" i="16"/>
  <c r="C62" i="16"/>
  <c r="AB15" i="16"/>
  <c r="J10" i="16"/>
  <c r="O13" i="16"/>
  <c r="K18" i="16"/>
  <c r="W16" i="16"/>
  <c r="Y16" i="16"/>
  <c r="P13" i="16"/>
  <c r="S6" i="16"/>
  <c r="O17" i="16"/>
  <c r="D80" i="16"/>
  <c r="W5" i="16"/>
  <c r="M12" i="16"/>
  <c r="Y14" i="16"/>
  <c r="J16" i="16"/>
  <c r="K11" i="16"/>
  <c r="I56" i="16"/>
  <c r="T28" i="16"/>
  <c r="P11" i="16"/>
  <c r="D39" i="16"/>
  <c r="Q38" i="16"/>
  <c r="Q58" i="16"/>
  <c r="L14" i="16"/>
  <c r="V6" i="16"/>
  <c r="O10" i="16"/>
  <c r="I20" i="16"/>
  <c r="Q5" i="16"/>
  <c r="H75" i="16"/>
  <c r="H83" i="16"/>
  <c r="P75" i="16"/>
  <c r="C26" i="16"/>
  <c r="N17" i="16"/>
  <c r="F57" i="16"/>
  <c r="C69" i="16"/>
  <c r="N40" i="16"/>
  <c r="I78" i="16"/>
  <c r="Z26" i="16"/>
  <c r="B39" i="16"/>
  <c r="B78" i="16"/>
  <c r="L47" i="16"/>
  <c r="M57" i="16"/>
  <c r="P76" i="16"/>
  <c r="O75" i="16"/>
  <c r="N79" i="16"/>
  <c r="AA26" i="16"/>
  <c r="D18" i="16"/>
  <c r="Q40" i="16"/>
  <c r="P61" i="16"/>
  <c r="Q70" i="16"/>
  <c r="I58" i="16"/>
  <c r="K72" i="16"/>
  <c r="N28" i="16"/>
  <c r="Q59" i="16"/>
  <c r="AE37" i="16"/>
  <c r="R40" i="16"/>
  <c r="K51" i="16"/>
  <c r="B10" i="16"/>
  <c r="S7" i="16"/>
  <c r="R14" i="16"/>
  <c r="X6" i="16"/>
  <c r="O11" i="16"/>
  <c r="AE8" i="16"/>
  <c r="P12" i="16"/>
  <c r="F27" i="16"/>
  <c r="AG11" i="16"/>
  <c r="Q49" i="16"/>
  <c r="AA40" i="16"/>
  <c r="B62" i="16"/>
  <c r="I16" i="16"/>
  <c r="N29" i="16"/>
  <c r="B59" i="16"/>
  <c r="E82" i="16"/>
  <c r="S28" i="16"/>
  <c r="AE7" i="16"/>
  <c r="M15" i="16"/>
  <c r="N68" i="16"/>
  <c r="H13" i="16"/>
  <c r="G69" i="16"/>
  <c r="I62" i="16"/>
  <c r="B6" i="16"/>
  <c r="K32" i="16"/>
  <c r="AF8" i="16"/>
  <c r="N18" i="16"/>
  <c r="H37" i="16"/>
  <c r="L35" i="16"/>
  <c r="AD10" i="16"/>
  <c r="Q71" i="16"/>
  <c r="N81" i="16"/>
  <c r="J28" i="16"/>
  <c r="J30" i="16"/>
  <c r="G54" i="16"/>
  <c r="J32" i="16"/>
  <c r="G34" i="16"/>
  <c r="F28" i="16"/>
  <c r="O73" i="16"/>
  <c r="K58" i="16"/>
  <c r="Z32" i="16"/>
  <c r="N16" i="16"/>
  <c r="L77" i="16"/>
  <c r="N30" i="16"/>
  <c r="AG28" i="16"/>
  <c r="C28" i="16"/>
  <c r="C16" i="16"/>
  <c r="AC19" i="16"/>
  <c r="T16" i="16"/>
  <c r="G82" i="16"/>
  <c r="E19" i="16"/>
  <c r="N14" i="16"/>
  <c r="F6" i="16"/>
  <c r="W9" i="16"/>
  <c r="G32" i="16"/>
  <c r="AB39" i="16"/>
  <c r="T29" i="16"/>
  <c r="D14" i="16"/>
  <c r="O7" i="16"/>
  <c r="S30" i="16"/>
  <c r="N8" i="16"/>
  <c r="L82" i="16"/>
  <c r="M58" i="16"/>
  <c r="E36" i="16"/>
  <c r="AF26" i="16"/>
  <c r="H56" i="16"/>
  <c r="Y35" i="16"/>
  <c r="M41" i="16"/>
  <c r="F80" i="16"/>
  <c r="P32" i="16"/>
  <c r="I26" i="16"/>
  <c r="R30" i="16"/>
  <c r="Y28" i="16"/>
  <c r="AF29" i="16"/>
  <c r="P6" i="16"/>
  <c r="F40" i="16"/>
  <c r="B17" i="16"/>
  <c r="F13" i="16"/>
  <c r="Z39" i="16"/>
  <c r="AG6" i="16"/>
  <c r="P36" i="16"/>
  <c r="P29" i="16"/>
  <c r="AA7" i="16"/>
  <c r="E47" i="16"/>
  <c r="B70" i="16"/>
  <c r="AG40" i="16"/>
  <c r="H12" i="16"/>
  <c r="F17" i="16"/>
  <c r="P47" i="16"/>
  <c r="V34" i="16"/>
  <c r="J47" i="16"/>
  <c r="M75" i="16"/>
  <c r="AF15" i="16"/>
  <c r="AE30" i="16"/>
  <c r="V33" i="16"/>
  <c r="Q20" i="16"/>
  <c r="G31" i="16"/>
  <c r="L15" i="16"/>
  <c r="T17" i="16"/>
  <c r="AE20" i="16"/>
  <c r="F33" i="16"/>
  <c r="N47" i="16"/>
  <c r="B36" i="16"/>
  <c r="R31" i="16"/>
  <c r="R19" i="16"/>
  <c r="H19" i="16"/>
  <c r="AG16" i="16"/>
  <c r="D5" i="16"/>
  <c r="B61" i="16"/>
  <c r="V16" i="16"/>
  <c r="X37" i="16"/>
  <c r="AE32" i="16"/>
  <c r="X5" i="16"/>
  <c r="F12" i="16"/>
  <c r="F77" i="16"/>
  <c r="Y15" i="16"/>
  <c r="AG19" i="16"/>
  <c r="L5" i="16"/>
  <c r="M54" i="16"/>
  <c r="S20" i="16"/>
  <c r="AD20" i="16"/>
  <c r="R12" i="16"/>
  <c r="B18" i="16"/>
  <c r="AF34" i="16"/>
  <c r="O40" i="16"/>
  <c r="AF18" i="16"/>
  <c r="J15" i="16"/>
  <c r="I73" i="16"/>
  <c r="Y6" i="16"/>
  <c r="K30" i="16"/>
  <c r="AB31" i="16"/>
  <c r="AF17" i="16"/>
  <c r="M34" i="16"/>
  <c r="C76" i="16"/>
  <c r="G12" i="16"/>
  <c r="C41" i="16"/>
  <c r="G19" i="16"/>
  <c r="S34" i="16"/>
  <c r="AF10" i="16"/>
  <c r="J81" i="16"/>
  <c r="C55" i="16"/>
  <c r="AG38" i="16"/>
  <c r="AD5" i="16"/>
  <c r="G11" i="16"/>
  <c r="C60" i="16"/>
  <c r="J78" i="16"/>
  <c r="M40" i="16"/>
  <c r="K56" i="16"/>
  <c r="AE31" i="16"/>
  <c r="Q37" i="16"/>
  <c r="H11" i="16"/>
  <c r="J56" i="16"/>
  <c r="B12" i="16"/>
  <c r="O49" i="16"/>
  <c r="J19" i="16"/>
  <c r="I50" i="16"/>
  <c r="P58" i="16"/>
  <c r="F29" i="16"/>
  <c r="K34" i="16"/>
  <c r="B40" i="16"/>
  <c r="AB34" i="16"/>
  <c r="J70" i="16"/>
  <c r="J37" i="16"/>
  <c r="C14" i="16"/>
  <c r="I72" i="16"/>
  <c r="O16" i="16"/>
  <c r="I29" i="16"/>
  <c r="G58" i="16"/>
  <c r="Y18" i="16"/>
  <c r="P83" i="16"/>
  <c r="Q29" i="16"/>
  <c r="K15" i="16"/>
  <c r="S32" i="16"/>
  <c r="G5" i="16"/>
  <c r="D30" i="16"/>
  <c r="H57" i="16"/>
  <c r="M39" i="16"/>
  <c r="E10" i="16"/>
  <c r="G20" i="16"/>
  <c r="C57" i="16"/>
  <c r="T20" i="16"/>
  <c r="L80" i="16"/>
  <c r="N62" i="16"/>
  <c r="I53" i="16"/>
  <c r="X38" i="16"/>
  <c r="O48" i="16"/>
  <c r="H59" i="16"/>
  <c r="E13" i="16"/>
  <c r="M38" i="16"/>
  <c r="M79" i="16"/>
  <c r="AF7" i="16"/>
  <c r="D70" i="16"/>
  <c r="Q68" i="16"/>
  <c r="X9" i="16"/>
  <c r="O47" i="16"/>
  <c r="Z15" i="16"/>
  <c r="D60" i="16"/>
  <c r="J50" i="16"/>
  <c r="F75" i="16"/>
  <c r="AF36" i="16"/>
  <c r="E31" i="16"/>
  <c r="N52" i="16"/>
  <c r="J29" i="16"/>
  <c r="H27" i="16"/>
  <c r="H62" i="16"/>
  <c r="L57" i="16"/>
  <c r="E28" i="16"/>
  <c r="B56" i="16"/>
  <c r="N60" i="16"/>
  <c r="C12" i="16"/>
  <c r="L9" i="16"/>
  <c r="AA38" i="16"/>
  <c r="G55" i="16"/>
  <c r="X18" i="16"/>
  <c r="D11" i="16"/>
  <c r="S16" i="16"/>
  <c r="I80" i="16"/>
  <c r="L38" i="16"/>
  <c r="Y27" i="16"/>
  <c r="E5" i="16"/>
  <c r="O62" i="16"/>
  <c r="E60" i="16"/>
  <c r="H20" i="16"/>
  <c r="G16" i="16"/>
  <c r="V27" i="16"/>
  <c r="F11" i="16"/>
  <c r="E11" i="16"/>
  <c r="J59" i="16"/>
  <c r="C8" i="16"/>
  <c r="F37" i="16"/>
  <c r="E70" i="16"/>
  <c r="AA9" i="16"/>
  <c r="AF12" i="16"/>
  <c r="X33" i="16"/>
  <c r="F71" i="16"/>
  <c r="G9" i="16"/>
  <c r="R28" i="16"/>
  <c r="AG35" i="16"/>
  <c r="K69" i="16"/>
  <c r="L51" i="16"/>
  <c r="V28" i="16"/>
  <c r="D62" i="16"/>
  <c r="AG30" i="16"/>
  <c r="F10" i="16"/>
  <c r="I77" i="16"/>
  <c r="N32" i="16"/>
  <c r="O39" i="16"/>
  <c r="P26" i="16"/>
  <c r="U14" i="16"/>
  <c r="T32" i="16"/>
  <c r="Z5" i="16"/>
  <c r="F36" i="16"/>
  <c r="S40" i="16"/>
  <c r="V37" i="16"/>
  <c r="J75" i="16"/>
  <c r="AF11" i="16"/>
  <c r="M26" i="16"/>
  <c r="F20" i="16"/>
  <c r="B38" i="16"/>
  <c r="B29" i="16"/>
  <c r="Z35" i="16"/>
  <c r="X35" i="16"/>
  <c r="M37" i="16"/>
  <c r="Q51" i="16"/>
  <c r="L71" i="16"/>
  <c r="I83" i="16"/>
  <c r="I27" i="16"/>
  <c r="C36" i="16"/>
  <c r="X31" i="16"/>
  <c r="R11" i="16"/>
  <c r="F30" i="16"/>
  <c r="F38" i="16"/>
  <c r="K59" i="16"/>
  <c r="G56" i="16"/>
  <c r="X20" i="16"/>
  <c r="T35" i="16"/>
  <c r="G14" i="16"/>
  <c r="L83" i="16"/>
  <c r="J14" i="16"/>
  <c r="M83" i="16"/>
  <c r="S8" i="16"/>
  <c r="Q19" i="16"/>
  <c r="W14" i="16"/>
  <c r="N15" i="16"/>
  <c r="K13" i="16"/>
  <c r="G62" i="16"/>
  <c r="L62" i="16"/>
  <c r="R8" i="16"/>
  <c r="F81" i="16"/>
  <c r="K70" i="16"/>
  <c r="B30" i="16"/>
  <c r="N61" i="16"/>
  <c r="S9" i="16"/>
  <c r="E32" i="16"/>
  <c r="J77" i="16"/>
  <c r="F51" i="16"/>
  <c r="D49" i="16"/>
  <c r="U36" i="16"/>
  <c r="P54" i="16"/>
  <c r="J54" i="16"/>
  <c r="S39" i="16"/>
  <c r="S17" i="16"/>
  <c r="G39" i="16"/>
  <c r="Z12" i="16"/>
  <c r="X13" i="16"/>
  <c r="O72" i="16"/>
  <c r="AF38" i="16"/>
  <c r="D41" i="16"/>
  <c r="J17" i="16"/>
  <c r="M6" i="16"/>
  <c r="T27" i="16"/>
  <c r="E54" i="16"/>
  <c r="AG34" i="16"/>
  <c r="B20" i="16"/>
  <c r="AA18" i="16"/>
  <c r="C7" i="16"/>
  <c r="I36" i="16"/>
  <c r="C29" i="16"/>
  <c r="P7" i="16"/>
  <c r="D81" i="16"/>
  <c r="S19" i="16"/>
  <c r="X12" i="16"/>
  <c r="Y10" i="16"/>
  <c r="AE9" i="16"/>
  <c r="L70" i="16"/>
  <c r="AA8" i="16"/>
  <c r="AC34" i="16"/>
  <c r="Q62" i="16"/>
  <c r="K39" i="16"/>
  <c r="H14" i="16"/>
  <c r="I6" i="16"/>
  <c r="E41" i="16"/>
  <c r="AF19" i="16"/>
  <c r="D83" i="16"/>
  <c r="B51" i="16"/>
  <c r="U18" i="16"/>
  <c r="J51" i="16"/>
  <c r="AB41" i="16"/>
  <c r="J8" i="16"/>
  <c r="L49" i="16"/>
  <c r="I76" i="16"/>
  <c r="AA31" i="16"/>
  <c r="O31" i="16"/>
  <c r="W12" i="16"/>
  <c r="W27" i="16"/>
  <c r="I41" i="16"/>
  <c r="B54" i="16"/>
  <c r="O14" i="16"/>
  <c r="M53" i="16"/>
  <c r="V31" i="16"/>
  <c r="AA14" i="16"/>
  <c r="F15" i="16"/>
  <c r="G40" i="16"/>
  <c r="N34" i="16"/>
  <c r="O20" i="16"/>
  <c r="H30" i="16"/>
  <c r="AF20" i="16"/>
  <c r="E62" i="16"/>
  <c r="AC10" i="16"/>
  <c r="E49" i="16"/>
  <c r="H52" i="16"/>
  <c r="F14" i="16"/>
  <c r="M80" i="16"/>
  <c r="U6" i="16"/>
  <c r="AG12" i="16"/>
  <c r="M27" i="16"/>
  <c r="AC30" i="16"/>
  <c r="C19" i="16"/>
  <c r="S27" i="16"/>
  <c r="AA32" i="16"/>
  <c r="E71" i="16"/>
  <c r="P78" i="16"/>
  <c r="Z40" i="16"/>
  <c r="K62" i="16"/>
  <c r="X16" i="16"/>
  <c r="I60" i="16"/>
  <c r="Y41" i="16"/>
  <c r="V12" i="16"/>
  <c r="AD34" i="16"/>
  <c r="V41" i="16"/>
  <c r="P35" i="16"/>
  <c r="O61" i="16"/>
  <c r="U31" i="16"/>
  <c r="AE16" i="16"/>
  <c r="AC26" i="16"/>
  <c r="G53" i="16"/>
  <c r="I71" i="16"/>
  <c r="G78" i="16"/>
  <c r="K68" i="16"/>
  <c r="M16" i="16"/>
  <c r="P55" i="16"/>
  <c r="AD18" i="16"/>
  <c r="AE17" i="16"/>
  <c r="Q31" i="16"/>
  <c r="Y37" i="16"/>
  <c r="Q27" i="16"/>
  <c r="C6" i="16"/>
  <c r="D13" i="16"/>
  <c r="Y32" i="16"/>
  <c r="R6" i="16"/>
  <c r="AD9" i="16"/>
  <c r="AF31" i="16"/>
  <c r="W41" i="16"/>
  <c r="R41" i="16"/>
  <c r="AD36" i="16"/>
  <c r="AD8" i="16"/>
  <c r="AG29" i="16"/>
  <c r="AG15" i="16"/>
  <c r="O70" i="16"/>
  <c r="O34" i="16"/>
  <c r="Z33" i="16"/>
  <c r="Q50" i="16"/>
  <c r="O19" i="16"/>
  <c r="G33" i="16"/>
  <c r="N76" i="16"/>
  <c r="AG7" i="16"/>
  <c r="L76" i="16"/>
  <c r="X39" i="16"/>
  <c r="J58" i="16"/>
  <c r="J7" i="16"/>
  <c r="M49" i="16"/>
  <c r="L19" i="16"/>
  <c r="G79" i="16"/>
  <c r="N6" i="16"/>
  <c r="O41" i="16"/>
  <c r="Z38" i="16"/>
  <c r="C50" i="16"/>
  <c r="O18" i="16"/>
  <c r="N50" i="16"/>
  <c r="AD14" i="16"/>
  <c r="AB10" i="16"/>
  <c r="H68" i="16"/>
  <c r="Y9" i="16"/>
  <c r="L48" i="16"/>
  <c r="Q61" i="16"/>
  <c r="H82" i="16"/>
  <c r="P34" i="16"/>
  <c r="X26" i="16"/>
  <c r="P56" i="16"/>
  <c r="H32" i="16"/>
  <c r="AE19" i="16"/>
  <c r="H39" i="16"/>
  <c r="M36" i="16"/>
  <c r="P17" i="16"/>
  <c r="K60" i="16"/>
  <c r="N19" i="16"/>
  <c r="Y8" i="16"/>
  <c r="C61" i="16"/>
  <c r="C34" i="16"/>
  <c r="T8" i="16"/>
  <c r="D16" i="16"/>
  <c r="Q48" i="16"/>
  <c r="E53" i="16"/>
  <c r="I82" i="16"/>
  <c r="V38" i="16"/>
  <c r="Z34" i="16"/>
  <c r="B57" i="16"/>
  <c r="G41" i="16"/>
  <c r="O29" i="16"/>
  <c r="D48" i="16"/>
  <c r="B71" i="16"/>
  <c r="AE18" i="16"/>
  <c r="H72" i="16"/>
  <c r="X40" i="16"/>
  <c r="W26" i="16"/>
  <c r="F34" i="16"/>
  <c r="K61" i="16"/>
  <c r="R36" i="16"/>
  <c r="O27" i="16"/>
  <c r="AF28" i="16"/>
  <c r="H54" i="16"/>
  <c r="L18" i="16"/>
  <c r="P49" i="16"/>
  <c r="M11" i="16"/>
  <c r="G68" i="16"/>
  <c r="X11" i="16"/>
  <c r="N36" i="16"/>
  <c r="J5" i="16"/>
  <c r="K83" i="16"/>
  <c r="AB40" i="16"/>
  <c r="G7" i="16"/>
  <c r="AA17" i="16"/>
  <c r="Y7" i="16"/>
  <c r="AA15" i="16"/>
  <c r="H5" i="16"/>
  <c r="F59" i="16"/>
  <c r="L31" i="16"/>
  <c r="J83" i="16"/>
  <c r="I19" i="16"/>
  <c r="AB35" i="16"/>
  <c r="R27" i="16"/>
  <c r="M31" i="16"/>
  <c r="S31" i="16"/>
  <c r="Y31" i="16"/>
  <c r="G38" i="16"/>
  <c r="R33" i="16"/>
  <c r="Q80" i="16"/>
  <c r="E56" i="16"/>
  <c r="J74" i="16"/>
  <c r="L41" i="16"/>
  <c r="Q35" i="16"/>
  <c r="O5" i="16"/>
  <c r="F49" i="16"/>
  <c r="M13" i="16"/>
  <c r="P10" i="16"/>
  <c r="Z10" i="16"/>
  <c r="I13" i="16"/>
  <c r="D79" i="16"/>
  <c r="V8" i="16"/>
  <c r="V40" i="16"/>
  <c r="AD13" i="16"/>
  <c r="B75" i="16"/>
  <c r="AG14" i="16"/>
  <c r="F79" i="16"/>
  <c r="O12" i="16"/>
  <c r="B7" i="16"/>
  <c r="W31" i="16"/>
  <c r="L73" i="16"/>
  <c r="Z29" i="16"/>
  <c r="M62" i="16"/>
  <c r="P30" i="16"/>
  <c r="E79" i="16"/>
  <c r="N49" i="16"/>
  <c r="C39" i="16"/>
  <c r="R13" i="16"/>
  <c r="AC37" i="16"/>
  <c r="G15" i="16"/>
  <c r="I70" i="16"/>
  <c r="K16" i="16"/>
  <c r="L34" i="16"/>
  <c r="U19" i="16"/>
  <c r="F39" i="16"/>
  <c r="O79" i="16"/>
  <c r="V19" i="16"/>
  <c r="AA41" i="16"/>
  <c r="K28" i="16"/>
  <c r="V20" i="16"/>
  <c r="H53" i="16"/>
  <c r="L29" i="16"/>
  <c r="E78" i="16"/>
  <c r="AF6" i="16"/>
  <c r="O69" i="16"/>
  <c r="O57" i="16"/>
  <c r="C75" i="16"/>
  <c r="O82" i="16"/>
  <c r="K80" i="16"/>
  <c r="O50" i="16"/>
  <c r="AA12" i="16"/>
  <c r="D31" i="16"/>
  <c r="D27" i="16"/>
  <c r="I40" i="16"/>
  <c r="P81" i="16"/>
  <c r="H31" i="16"/>
  <c r="AE38" i="16"/>
  <c r="L6" i="16"/>
  <c r="C37" i="16"/>
  <c r="Y5" i="16"/>
  <c r="Q57" i="16"/>
  <c r="AC36" i="16"/>
  <c r="N74" i="16"/>
  <c r="J48" i="16"/>
  <c r="Q55" i="16"/>
  <c r="R7" i="16"/>
  <c r="AA5" i="16"/>
  <c r="AC18" i="16"/>
  <c r="K82" i="16"/>
  <c r="U20" i="16"/>
  <c r="J69" i="16"/>
  <c r="Z28" i="16"/>
  <c r="T7" i="16"/>
  <c r="H73" i="16"/>
  <c r="I11" i="16"/>
  <c r="J41" i="16"/>
  <c r="D58" i="16"/>
  <c r="H33" i="16"/>
  <c r="E17" i="16"/>
  <c r="AF35" i="16"/>
  <c r="K48" i="16"/>
  <c r="E81" i="16"/>
  <c r="F19" i="16"/>
  <c r="O37" i="16"/>
  <c r="P27" i="16"/>
  <c r="G72" i="16"/>
  <c r="AE15" i="16"/>
  <c r="H18" i="16"/>
  <c r="K79" i="16"/>
  <c r="U37" i="16"/>
  <c r="I55" i="16"/>
  <c r="T12" i="16"/>
  <c r="I49" i="16"/>
  <c r="H61" i="16"/>
  <c r="G18" i="16"/>
  <c r="Q32" i="16"/>
  <c r="F54" i="16"/>
  <c r="F78" i="16"/>
  <c r="H51" i="16"/>
  <c r="W17" i="16"/>
  <c r="I48" i="16"/>
  <c r="U39" i="16"/>
  <c r="P69" i="16"/>
  <c r="H16" i="16"/>
  <c r="G59" i="16"/>
  <c r="P72" i="16"/>
  <c r="D38" i="16"/>
  <c r="Y30" i="16"/>
  <c r="Q17" i="16"/>
  <c r="M8" i="16"/>
  <c r="AG8" i="16"/>
  <c r="AE40" i="16"/>
  <c r="Z7" i="16"/>
  <c r="Y19" i="16"/>
  <c r="H79" i="16"/>
  <c r="K26" i="16"/>
  <c r="AG33" i="16"/>
  <c r="H50" i="16"/>
  <c r="AC6" i="16"/>
  <c r="E58" i="16"/>
  <c r="M29" i="16"/>
  <c r="K38" i="16"/>
  <c r="AC12" i="16"/>
  <c r="D26" i="16"/>
  <c r="E40" i="16"/>
  <c r="Y34" i="16"/>
  <c r="K12" i="16"/>
  <c r="C54" i="16"/>
  <c r="V17" i="16"/>
  <c r="K76" i="16"/>
  <c r="J80" i="16"/>
  <c r="U29" i="16"/>
  <c r="J71" i="16"/>
  <c r="M47" i="16"/>
  <c r="N82" i="16"/>
  <c r="AF37" i="16"/>
  <c r="L12" i="16"/>
  <c r="B8" i="16"/>
  <c r="L79" i="16"/>
  <c r="AC38" i="16"/>
  <c r="H58" i="16"/>
  <c r="N57" i="16"/>
  <c r="G51" i="16"/>
  <c r="L40" i="16"/>
  <c r="AA19" i="16"/>
  <c r="G29" i="16"/>
  <c r="E74" i="16"/>
  <c r="B76" i="16"/>
  <c r="AB33" i="16"/>
  <c r="AE26" i="16"/>
  <c r="T38" i="16"/>
  <c r="Z20" i="16"/>
  <c r="P37" i="16"/>
  <c r="AD33" i="16"/>
  <c r="F18" i="16"/>
  <c r="AG20" i="16"/>
  <c r="I28" i="16"/>
  <c r="J35" i="16"/>
  <c r="AA16" i="16"/>
  <c r="AF27" i="16"/>
  <c r="AC13" i="16"/>
  <c r="K6" i="16"/>
  <c r="T14" i="16"/>
  <c r="C72" i="16"/>
  <c r="H15" i="16"/>
  <c r="F31" i="16"/>
  <c r="K17" i="16"/>
  <c r="AG32" i="16"/>
  <c r="AE41" i="16"/>
  <c r="B35" i="16"/>
  <c r="Q28" i="16"/>
  <c r="T30" i="16"/>
  <c r="AF30" i="16"/>
  <c r="D36" i="16"/>
  <c r="D75" i="16"/>
  <c r="AB20" i="16"/>
  <c r="E51" i="16"/>
  <c r="K74" i="16"/>
  <c r="M59" i="16"/>
  <c r="AE13" i="16"/>
  <c r="AG5" i="16"/>
  <c r="C31" i="16"/>
  <c r="J60" i="16"/>
  <c r="AF33" i="16"/>
  <c r="F47" i="16"/>
  <c r="L39" i="16"/>
  <c r="Q75" i="16"/>
  <c r="J55" i="16"/>
  <c r="D10" i="16"/>
  <c r="Q52" i="16"/>
  <c r="H41" i="16"/>
  <c r="V15" i="16"/>
  <c r="R37" i="16"/>
  <c r="AD19" i="16"/>
  <c r="C71" i="16"/>
  <c r="P80" i="16"/>
  <c r="B79" i="16"/>
  <c r="L27" i="16"/>
  <c r="B68" i="16"/>
  <c r="F56" i="16"/>
  <c r="F41" i="16"/>
  <c r="AD30" i="16"/>
  <c r="T15" i="16"/>
  <c r="N55" i="16"/>
  <c r="Q47" i="16"/>
  <c r="M14" i="16"/>
  <c r="Y11" i="16"/>
  <c r="U32" i="16"/>
  <c r="F70" i="16"/>
  <c r="AD16" i="16"/>
  <c r="C20" i="16"/>
  <c r="Z13" i="16"/>
  <c r="G83" i="16"/>
  <c r="AB8" i="16"/>
  <c r="O53" i="16"/>
  <c r="L54" i="16"/>
  <c r="Q26" i="16"/>
  <c r="B27" i="16"/>
  <c r="Q53" i="16"/>
  <c r="C11" i="16"/>
  <c r="AD27" i="16"/>
  <c r="AD15" i="16"/>
  <c r="L33" i="16"/>
  <c r="J9" i="16"/>
  <c r="H7" i="16"/>
  <c r="C83" i="16"/>
  <c r="AG27" i="16"/>
  <c r="G49" i="16"/>
  <c r="K7" i="16"/>
  <c r="J6" i="16"/>
  <c r="N70" i="16"/>
  <c r="F76" i="16"/>
  <c r="K41" i="16"/>
  <c r="AC35" i="16"/>
  <c r="Z36" i="16"/>
  <c r="AB5" i="16"/>
  <c r="K52" i="16"/>
  <c r="U34" i="16"/>
  <c r="P68" i="16"/>
  <c r="Z14" i="16"/>
  <c r="C38" i="16"/>
  <c r="U16" i="16"/>
  <c r="S35" i="16"/>
  <c r="N71" i="16"/>
  <c r="K20" i="16"/>
  <c r="M10" i="16"/>
  <c r="AD31" i="16"/>
  <c r="I5" i="16"/>
  <c r="AB28" i="16"/>
  <c r="B9" i="16"/>
  <c r="W3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D91782EB-1714-4237-92C0-A75075F127C8}">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8" authorId="0" shapeId="0" xr:uid="{9F2E64F2-F0A3-463D-AA6F-99BD8C64E057}">
      <text>
        <r>
          <rPr>
            <b/>
            <sz val="9"/>
            <color indexed="81"/>
            <rFont val="Tahoma"/>
            <family val="2"/>
          </rPr>
          <t>jmarks:</t>
        </r>
        <r>
          <rPr>
            <sz val="9"/>
            <color indexed="81"/>
            <rFont val="Tahoma"/>
            <family val="2"/>
          </rPr>
          <t xml:space="preserve">
Note will need to be revised as there are more "15s" now.</t>
        </r>
      </text>
    </comment>
    <comment ref="I28" authorId="0" shapeId="0" xr:uid="{0573C912-C99C-4E85-A7D3-2C09124D3902}">
      <text>
        <r>
          <rPr>
            <b/>
            <sz val="9"/>
            <color indexed="81"/>
            <rFont val="Tahoma"/>
            <family val="2"/>
          </rPr>
          <t>jmarks:</t>
        </r>
        <r>
          <rPr>
            <sz val="9"/>
            <color indexed="81"/>
            <rFont val="Tahoma"/>
            <family val="2"/>
          </rPr>
          <t xml:space="preserve">
Note will need to be revised as there are more "15s" now.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A2369B22-C1D0-4723-A019-7E4FE2813C5E}">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A28" authorId="0" shapeId="0" xr:uid="{0CA91A1C-CF59-42EF-AA40-4D02C176E4ED}">
      <text>
        <r>
          <rPr>
            <b/>
            <sz val="9"/>
            <color indexed="81"/>
            <rFont val="Tahoma"/>
            <family val="2"/>
          </rPr>
          <t>jmarks:</t>
        </r>
        <r>
          <rPr>
            <sz val="9"/>
            <color indexed="81"/>
            <rFont val="Tahoma"/>
            <family val="2"/>
          </rPr>
          <t xml:space="preserve">
Note will need to be revised as there are more "15s" now.</t>
        </r>
      </text>
    </comment>
    <comment ref="I28" authorId="0" shapeId="0" xr:uid="{FF262CA8-D58A-4239-AEFA-081A3E3FE1C3}">
      <text>
        <r>
          <rPr>
            <b/>
            <sz val="9"/>
            <color indexed="81"/>
            <rFont val="Tahoma"/>
            <family val="2"/>
          </rPr>
          <t>jmarks:</t>
        </r>
        <r>
          <rPr>
            <sz val="9"/>
            <color indexed="81"/>
            <rFont val="Tahoma"/>
            <family val="2"/>
          </rPr>
          <t xml:space="preserve">
Note will need to be revised as there are more "15s" now.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mloverde</author>
    <author>Excel Validator</author>
  </authors>
  <commentList>
    <comment ref="F2" authorId="0" shapeId="0" xr:uid="{01FA2201-9D42-4850-AF6E-8BD10CE1BBF7}">
      <text>
        <r>
          <rPr>
            <b/>
            <sz val="11"/>
            <color rgb="FF000000"/>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K267" authorId="1" shapeId="0" xr:uid="{757D8B78-75A2-4EEB-9FA8-4A8DBDDD2554}">
      <text>
        <r>
          <rPr>
            <sz val="8"/>
            <color rgb="FF000000"/>
            <rFont val="Tahoma"/>
            <family val="2"/>
          </rPr>
          <t xml:space="preserve">Low Warning  AA006:  Metric difference from prior year &gt;= 20% </t>
        </r>
      </text>
    </comment>
    <comment ref="O267" authorId="1" shapeId="0" xr:uid="{9DB7BD8D-520D-4D3C-AC36-052C7407AD6D}">
      <text>
        <r>
          <rPr>
            <sz val="8"/>
            <color rgb="FF000000"/>
            <rFont val="Tahoma"/>
            <family val="2"/>
          </rPr>
          <t xml:space="preserve">Low Warning  AA006:  Metric difference from prior year &gt;= 20% </t>
        </r>
      </text>
    </comment>
    <comment ref="P267" authorId="1" shapeId="0" xr:uid="{0C60B2A8-CB54-4B18-A016-D6AC8A2F6153}">
      <text>
        <r>
          <rPr>
            <sz val="8"/>
            <color rgb="FF000000"/>
            <rFont val="Tahoma"/>
            <family val="2"/>
          </rPr>
          <t>Moderate Warning  AA008:  Large Metric difference from prior year &gt;= 50%</t>
        </r>
      </text>
    </comment>
    <comment ref="I268" authorId="1" shapeId="0" xr:uid="{CBAF6211-332C-47E1-AAB0-39D3A6FFCA7C}">
      <text>
        <r>
          <rPr>
            <sz val="8"/>
            <color rgb="FF000000"/>
            <rFont val="Tahoma"/>
            <family val="2"/>
          </rPr>
          <t xml:space="preserve">Low Warning  AA006:  Metric difference from prior year &gt;= 20% </t>
        </r>
      </text>
    </comment>
    <comment ref="K268" authorId="1" shapeId="0" xr:uid="{2E2C1208-04F0-4BED-8606-72ED1B2E907A}">
      <text>
        <r>
          <rPr>
            <sz val="8"/>
            <color rgb="FF000000"/>
            <rFont val="Tahoma"/>
            <family val="2"/>
          </rPr>
          <t xml:space="preserve">Severe Warning  AA009:  Substantial Metric difference from prior year &gt;=100% </t>
        </r>
      </text>
    </comment>
    <comment ref="O268" authorId="1" shapeId="0" xr:uid="{A0E7295D-FDE5-4B05-B0B6-210A083266D4}">
      <text>
        <r>
          <rPr>
            <sz val="8"/>
            <color rgb="FF000000"/>
            <rFont val="Tahoma"/>
            <family val="2"/>
          </rPr>
          <t>Moderate Warning  AA008:  Large Metric difference from prior year &gt;= 50%</t>
        </r>
      </text>
    </comment>
    <comment ref="I269" authorId="1" shapeId="0" xr:uid="{C2029F58-001C-40CB-921A-B326FAAEE6CC}">
      <text>
        <r>
          <rPr>
            <sz val="8"/>
            <color rgb="FF000000"/>
            <rFont val="Tahoma"/>
            <family val="2"/>
          </rPr>
          <t xml:space="preserve">Low Warning  AA006:  Metric difference from prior year &gt;= 20% </t>
        </r>
      </text>
    </comment>
    <comment ref="K269" authorId="1" shapeId="0" xr:uid="{CC1771E6-FC20-43CD-8321-391D5CF02B80}">
      <text>
        <r>
          <rPr>
            <sz val="8"/>
            <color rgb="FF000000"/>
            <rFont val="Tahoma"/>
            <family val="2"/>
          </rPr>
          <t>Moderate Warning  AA008:  Large Metric difference from prior year &gt;= 50%</t>
        </r>
      </text>
    </comment>
    <comment ref="O269" authorId="1" shapeId="0" xr:uid="{881E178F-903E-40BF-9D45-283403323534}">
      <text>
        <r>
          <rPr>
            <sz val="8"/>
            <color rgb="FF000000"/>
            <rFont val="Tahoma"/>
            <family val="2"/>
          </rPr>
          <t>Moderate Warning  AA008:  Large Metric difference from prior year &gt;= 50%</t>
        </r>
      </text>
    </comment>
    <comment ref="I270" authorId="1" shapeId="0" xr:uid="{27DCF491-C3E4-46C9-87F1-07D0BEA3201B}">
      <text>
        <r>
          <rPr>
            <sz val="8"/>
            <color rgb="FF000000"/>
            <rFont val="Tahoma"/>
            <family val="2"/>
          </rPr>
          <t xml:space="preserve">Low Warning  AA006:  Metric difference from prior year &gt;= 20% </t>
        </r>
      </text>
    </comment>
    <comment ref="I271" authorId="1" shapeId="0" xr:uid="{089485EB-D335-4B07-8F0D-E5D1EFBEA04B}">
      <text>
        <r>
          <rPr>
            <sz val="8"/>
            <color rgb="FF000000"/>
            <rFont val="Tahoma"/>
            <family val="2"/>
          </rPr>
          <t xml:space="preserve">Low Warning  AA006:  Metric difference from prior year &gt;= 20% </t>
        </r>
      </text>
    </comment>
    <comment ref="K271" authorId="1" shapeId="0" xr:uid="{94B00D70-583A-4462-BFCD-E68B05836501}">
      <text>
        <r>
          <rPr>
            <sz val="8"/>
            <color rgb="FF000000"/>
            <rFont val="Tahoma"/>
            <family val="2"/>
          </rPr>
          <t xml:space="preserve">Low Warning  AA006:  Metric difference from prior year &gt;= 20% </t>
        </r>
      </text>
    </comment>
    <comment ref="O271" authorId="1" shapeId="0" xr:uid="{9D1DAA32-3D02-42ED-92C9-8FA76AA5A4E6}">
      <text>
        <r>
          <rPr>
            <sz val="8"/>
            <color rgb="FF000000"/>
            <rFont val="Tahoma"/>
            <family val="2"/>
          </rPr>
          <t>Moderate Warning  AA008:  Large Metric difference from prior year &gt;= 50%</t>
        </r>
      </text>
    </comment>
    <comment ref="P271" authorId="1" shapeId="0" xr:uid="{DD325CE2-85AE-4004-BDCF-B6E0688699B0}">
      <text>
        <r>
          <rPr>
            <sz val="8"/>
            <color rgb="FF000000"/>
            <rFont val="Tahoma"/>
            <family val="2"/>
          </rPr>
          <t>Moderate Warning  AA008:  Large Metric difference from prior year &gt;= 50%</t>
        </r>
      </text>
    </comment>
    <comment ref="I272" authorId="1" shapeId="0" xr:uid="{F766001B-28E3-44AA-97E1-A26434CDC9AC}">
      <text>
        <r>
          <rPr>
            <sz val="8"/>
            <color rgb="FF000000"/>
            <rFont val="Tahoma"/>
            <family val="2"/>
          </rPr>
          <t xml:space="preserve">Low Warning  AA006:  Metric difference from prior year &gt;= 20% </t>
        </r>
      </text>
    </comment>
    <comment ref="K272" authorId="1" shapeId="0" xr:uid="{8D75F880-7C73-4E98-ACFF-D84395386E53}">
      <text>
        <r>
          <rPr>
            <sz val="8"/>
            <color rgb="FF000000"/>
            <rFont val="Tahoma"/>
            <family val="2"/>
          </rPr>
          <t xml:space="preserve">Low Warning  AA006:  Metric difference from prior year &gt;= 20% </t>
        </r>
      </text>
    </comment>
    <comment ref="O272" authorId="1" shapeId="0" xr:uid="{E590328F-CB46-4CA8-ACA9-1542CA25A3F5}">
      <text>
        <r>
          <rPr>
            <sz val="8"/>
            <color rgb="FF000000"/>
            <rFont val="Tahoma"/>
            <family val="2"/>
          </rPr>
          <t>Moderate Warning  AA008:  Large Metric difference from prior year &gt;= 50%</t>
        </r>
      </text>
    </comment>
    <comment ref="I273" authorId="1" shapeId="0" xr:uid="{EB963EE7-F853-4BC3-9206-17D559DA8B4A}">
      <text>
        <r>
          <rPr>
            <sz val="8"/>
            <color rgb="FF000000"/>
            <rFont val="Tahoma"/>
            <family val="2"/>
          </rPr>
          <t xml:space="preserve">Low Warning  AA006:  Metric difference from prior year &gt;= 20% </t>
        </r>
      </text>
    </comment>
    <comment ref="K273" authorId="1" shapeId="0" xr:uid="{B9ECE1D5-3DAD-41BA-A979-8A1C462E011B}">
      <text>
        <r>
          <rPr>
            <sz val="8"/>
            <color rgb="FF000000"/>
            <rFont val="Tahoma"/>
            <family val="2"/>
          </rPr>
          <t xml:space="preserve">Low Warning  AA006:  Metric difference from prior year &gt;= 20% </t>
        </r>
      </text>
    </comment>
    <comment ref="O273" authorId="1" shapeId="0" xr:uid="{03C90910-8E39-4DF9-ABF7-7E50CE35D237}">
      <text>
        <r>
          <rPr>
            <sz val="8"/>
            <color rgb="FF000000"/>
            <rFont val="Tahoma"/>
            <family val="2"/>
          </rPr>
          <t xml:space="preserve">Low Warning  AA006:  Metric difference from prior year &gt;= 20% </t>
        </r>
      </text>
    </comment>
    <comment ref="P273" authorId="1" shapeId="0" xr:uid="{5D59A963-1620-412B-BBE7-36BADFAF636A}">
      <text>
        <r>
          <rPr>
            <sz val="8"/>
            <color rgb="FF000000"/>
            <rFont val="Tahoma"/>
            <family val="2"/>
          </rPr>
          <t>Moderate Warning  AA008:  Large Metric difference from prior year &gt;= 50%</t>
        </r>
      </text>
    </comment>
    <comment ref="I275" authorId="1" shapeId="0" xr:uid="{94A8397A-B937-486E-92F1-6C3DF305B84C}">
      <text>
        <r>
          <rPr>
            <sz val="8"/>
            <color rgb="FF000000"/>
            <rFont val="Tahoma"/>
            <family val="2"/>
          </rPr>
          <t xml:space="preserve">Low Warning  AA006:  Metric difference from prior year &gt;= 20% </t>
        </r>
      </text>
    </comment>
    <comment ref="K275" authorId="1" shapeId="0" xr:uid="{C5AF770C-8B13-436E-A6CE-725F07F72742}">
      <text>
        <r>
          <rPr>
            <sz val="8"/>
            <color rgb="FF000000"/>
            <rFont val="Tahoma"/>
            <family val="2"/>
          </rPr>
          <t xml:space="preserve">Low Warning  AA006:  Metric difference from prior year &gt;= 20% </t>
        </r>
      </text>
    </comment>
    <comment ref="O275" authorId="1" shapeId="0" xr:uid="{BFE947E5-27F7-4E5F-9A38-3E9330BAA38A}">
      <text>
        <r>
          <rPr>
            <sz val="8"/>
            <color rgb="FF000000"/>
            <rFont val="Tahoma"/>
            <family val="2"/>
          </rPr>
          <t>Moderate Warning  AA008:  Large Metric difference from prior year &gt;= 50%</t>
        </r>
      </text>
    </comment>
    <comment ref="I276" authorId="1" shapeId="0" xr:uid="{2AEDB18B-66C6-43D6-B75D-D8EB8B7CDE3D}">
      <text>
        <r>
          <rPr>
            <sz val="8"/>
            <color rgb="FF000000"/>
            <rFont val="Tahoma"/>
            <family val="2"/>
          </rPr>
          <t>Moderate Warning  AA008:  Large Metric difference from prior year &gt;= 50%</t>
        </r>
      </text>
    </comment>
    <comment ref="K276" authorId="1" shapeId="0" xr:uid="{347C898E-6DE6-4E8B-90F6-01A8EE205F1A}">
      <text>
        <r>
          <rPr>
            <sz val="8"/>
            <color rgb="FF000000"/>
            <rFont val="Tahoma"/>
            <family val="2"/>
          </rPr>
          <t xml:space="preserve">Low Warning  AA006:  Metric difference from prior year &gt;= 20% </t>
        </r>
      </text>
    </comment>
    <comment ref="O276" authorId="1" shapeId="0" xr:uid="{E7FBD7C0-BDB4-4349-99DE-1BD5F45E711F}">
      <text>
        <r>
          <rPr>
            <sz val="8"/>
            <color rgb="FF000000"/>
            <rFont val="Tahoma"/>
            <family val="2"/>
          </rPr>
          <t>Moderate Warning  AA008:  Large Metric difference from prior year &gt;= 50%</t>
        </r>
      </text>
    </comment>
    <comment ref="I277" authorId="1" shapeId="0" xr:uid="{8ED0FB52-36D4-469A-B794-3D1047A9440E}">
      <text>
        <r>
          <rPr>
            <sz val="8"/>
            <color rgb="FF000000"/>
            <rFont val="Tahoma"/>
            <family val="2"/>
          </rPr>
          <t xml:space="preserve">Low Warning  AA006:  Metric difference from prior year &gt;= 20% </t>
        </r>
      </text>
    </comment>
    <comment ref="O277" authorId="1" shapeId="0" xr:uid="{39B91E8B-DD96-4C90-8414-7211CCE5B37F}">
      <text>
        <r>
          <rPr>
            <sz val="8"/>
            <color rgb="FF000000"/>
            <rFont val="Tahoma"/>
            <family val="2"/>
          </rPr>
          <t>Moderate Warning  AA008:  Large Metric difference from prior year &gt;= 50%</t>
        </r>
      </text>
    </comment>
    <comment ref="P277" authorId="1" shapeId="0" xr:uid="{BA0C7318-3900-407A-ACF8-072C068B17FF}">
      <text>
        <r>
          <rPr>
            <sz val="8"/>
            <color rgb="FF000000"/>
            <rFont val="Tahoma"/>
            <family val="2"/>
          </rPr>
          <t>Moderate Warning  AA008:  Large Metric difference from prior year &gt;= 50%</t>
        </r>
      </text>
    </comment>
    <comment ref="I278" authorId="1" shapeId="0" xr:uid="{72C186AA-73B8-477B-867E-A2FCA5F2B506}">
      <text>
        <r>
          <rPr>
            <sz val="8"/>
            <color rgb="FF000000"/>
            <rFont val="Tahoma"/>
            <family val="2"/>
          </rPr>
          <t xml:space="preserve">Low Warning  AA006:  Metric difference from prior year &gt;= 20% </t>
        </r>
      </text>
    </comment>
    <comment ref="K278" authorId="1" shapeId="0" xr:uid="{04DAF51A-3CE6-44DE-808C-3361813E71B0}">
      <text>
        <r>
          <rPr>
            <sz val="8"/>
            <color rgb="FF000000"/>
            <rFont val="Tahoma"/>
            <family val="2"/>
          </rPr>
          <t xml:space="preserve">Severe Warning  AA009:  Substantial Metric difference from prior year &gt;=100% </t>
        </r>
      </text>
    </comment>
    <comment ref="O278" authorId="1" shapeId="0" xr:uid="{AFF00C67-E77F-4724-8239-4E6B466543E3}">
      <text>
        <r>
          <rPr>
            <sz val="8"/>
            <color rgb="FF000000"/>
            <rFont val="Tahoma"/>
            <family val="2"/>
          </rPr>
          <t xml:space="preserve">Low Warning  AA006:  Metric difference from prior year &gt;= 20% </t>
        </r>
      </text>
    </comment>
    <comment ref="I279" authorId="1" shapeId="0" xr:uid="{595958A1-4CE5-4630-8F6F-2C4EE993C943}">
      <text>
        <r>
          <rPr>
            <sz val="8"/>
            <color rgb="FF000000"/>
            <rFont val="Tahoma"/>
            <family val="2"/>
          </rPr>
          <t xml:space="preserve">Low Warning  AA006:  Metric difference from prior year &gt;= 20% </t>
        </r>
      </text>
    </comment>
    <comment ref="K279" authorId="1" shapeId="0" xr:uid="{887A1998-C43D-452C-9D91-427AC3F2E053}">
      <text>
        <r>
          <rPr>
            <sz val="8"/>
            <color rgb="FF000000"/>
            <rFont val="Tahoma"/>
            <family val="2"/>
          </rPr>
          <t>Moderate Warning  AA008:  Large Metric difference from prior year &gt;= 50%</t>
        </r>
      </text>
    </comment>
    <comment ref="O279" authorId="1" shapeId="0" xr:uid="{FF064522-2FE0-4D2A-AF5A-21DD7C1D73CC}">
      <text>
        <r>
          <rPr>
            <sz val="8"/>
            <color rgb="FF000000"/>
            <rFont val="Tahoma"/>
            <family val="2"/>
          </rPr>
          <t xml:space="preserve">Low Warning  AA006:  Metric difference from prior year &gt;= 20% </t>
        </r>
      </text>
    </comment>
    <comment ref="P279" authorId="1" shapeId="0" xr:uid="{B802B843-644D-4F15-A864-33915DCF498D}">
      <text>
        <r>
          <rPr>
            <sz val="8"/>
            <color rgb="FF000000"/>
            <rFont val="Tahoma"/>
            <family val="2"/>
          </rPr>
          <t>Moderate Warning  AA008:  Large Metric difference from prior year &gt;= 50%</t>
        </r>
      </text>
    </comment>
    <comment ref="P280" authorId="1" shapeId="0" xr:uid="{2F6FCBFD-6744-4F06-9D15-758DBA1DDAA3}">
      <text>
        <r>
          <rPr>
            <sz val="8"/>
            <color rgb="FF000000"/>
            <rFont val="Tahoma"/>
            <family val="2"/>
          </rPr>
          <t>Moderate Warning  AA008:  Large Metric difference from prior year &gt;= 50%</t>
        </r>
      </text>
    </comment>
    <comment ref="I281" authorId="1" shapeId="0" xr:uid="{ABCA54B5-75D8-454A-8E12-699315C5445F}">
      <text>
        <r>
          <rPr>
            <sz val="8"/>
            <color rgb="FF000000"/>
            <rFont val="Tahoma"/>
            <family val="2"/>
          </rPr>
          <t xml:space="preserve">Low Warning  AA006:  Metric difference from prior year &gt;= 20% </t>
        </r>
      </text>
    </comment>
    <comment ref="O281" authorId="1" shapeId="0" xr:uid="{04E274BD-8B17-4A6C-A05C-DF3AF3242111}">
      <text>
        <r>
          <rPr>
            <sz val="8"/>
            <color rgb="FF000000"/>
            <rFont val="Tahoma"/>
            <family val="2"/>
          </rPr>
          <t>Moderate Warning  AA008:  Large Metric difference from prior year &gt;= 50%</t>
        </r>
      </text>
    </comment>
    <comment ref="I282" authorId="1" shapeId="0" xr:uid="{EF6D832A-2740-4825-8FE0-31F0DB9F2DF1}">
      <text>
        <r>
          <rPr>
            <sz val="8"/>
            <color rgb="FF000000"/>
            <rFont val="Tahoma"/>
            <family val="2"/>
          </rPr>
          <t>Moderate Warning  AA008:  Large Metric difference from prior year &gt;= 50%</t>
        </r>
      </text>
    </comment>
    <comment ref="K282" authorId="1" shapeId="0" xr:uid="{78D8AD65-A372-4C3E-A47C-B66B0C528629}">
      <text>
        <r>
          <rPr>
            <sz val="8"/>
            <color rgb="FF000000"/>
            <rFont val="Tahoma"/>
            <family val="2"/>
          </rPr>
          <t xml:space="preserve">Severe Warning  AA009:  Substantial Metric difference from prior year &gt;=100% </t>
        </r>
      </text>
    </comment>
    <comment ref="K283" authorId="1" shapeId="0" xr:uid="{94000C6B-8C71-4134-89C1-86386B77A2DA}">
      <text>
        <r>
          <rPr>
            <sz val="8"/>
            <color rgb="FF000000"/>
            <rFont val="Tahoma"/>
            <family val="2"/>
          </rPr>
          <t xml:space="preserve">Severe Warning  AA009:  Substantial Metric difference from prior year &gt;=100% </t>
        </r>
      </text>
    </comment>
    <comment ref="I284" authorId="1" shapeId="0" xr:uid="{0F9803A9-3521-4CBA-9B33-D8FC7FD12490}">
      <text>
        <r>
          <rPr>
            <sz val="8"/>
            <color rgb="FF000000"/>
            <rFont val="Tahoma"/>
            <family val="2"/>
          </rPr>
          <t>Moderate Warning  AA008:  Large Metric difference from prior year &gt;= 50%</t>
        </r>
      </text>
    </comment>
    <comment ref="K284" authorId="1" shapeId="0" xr:uid="{6A5AF0F3-1EF0-4FC8-AA60-F88E548E8690}">
      <text>
        <r>
          <rPr>
            <sz val="8"/>
            <color rgb="FF000000"/>
            <rFont val="Tahoma"/>
            <family val="2"/>
          </rPr>
          <t>Moderate Warning  AA008:  Large Metric difference from prior year &gt;= 50%</t>
        </r>
      </text>
    </comment>
    <comment ref="O284" authorId="1" shapeId="0" xr:uid="{39BFB15A-9C94-4B16-8255-8F5208FBF3B9}">
      <text>
        <r>
          <rPr>
            <sz val="8"/>
            <color rgb="FF000000"/>
            <rFont val="Tahoma"/>
            <family val="2"/>
          </rPr>
          <t>Moderate Warning  AA008:  Large Metric difference from prior year &gt;= 50%</t>
        </r>
      </text>
    </comment>
    <comment ref="I285" authorId="1" shapeId="0" xr:uid="{8420E595-F08C-4938-8003-633522E2DFCA}">
      <text>
        <r>
          <rPr>
            <sz val="8"/>
            <color rgb="FF000000"/>
            <rFont val="Tahoma"/>
            <family val="2"/>
          </rPr>
          <t xml:space="preserve">Low Warning  AA006:  Metric difference from prior year &gt;= 20% </t>
        </r>
      </text>
    </comment>
    <comment ref="K285" authorId="1" shapeId="0" xr:uid="{CF033AD7-96BE-4E69-8561-0C1FA3367BB3}">
      <text>
        <r>
          <rPr>
            <sz val="8"/>
            <color rgb="FF000000"/>
            <rFont val="Tahoma"/>
            <family val="2"/>
          </rPr>
          <t>Moderate Warning  AA008:  Large Metric difference from prior year &gt;= 50%</t>
        </r>
      </text>
    </comment>
    <comment ref="O285" authorId="1" shapeId="0" xr:uid="{8610953C-2911-462E-9259-D09F0165F41F}">
      <text>
        <r>
          <rPr>
            <sz val="8"/>
            <color rgb="FF000000"/>
            <rFont val="Tahoma"/>
            <family val="2"/>
          </rPr>
          <t xml:space="preserve">Low Warning  AA006:  Metric difference from prior year &gt;= 20% </t>
        </r>
      </text>
    </comment>
    <comment ref="P285" authorId="1" shapeId="0" xr:uid="{74214E39-428C-40A7-913E-B55CBBFE82DC}">
      <text>
        <r>
          <rPr>
            <sz val="8"/>
            <color rgb="FF000000"/>
            <rFont val="Tahoma"/>
            <family val="2"/>
          </rPr>
          <t>Moderate Warning  AA008:  Large Metric difference from prior year &gt;= 50%</t>
        </r>
      </text>
    </comment>
    <comment ref="I286" authorId="1" shapeId="0" xr:uid="{27489318-6645-4EC4-8322-727DF7A339BA}">
      <text>
        <r>
          <rPr>
            <sz val="8"/>
            <color rgb="FF000000"/>
            <rFont val="Tahoma"/>
            <family val="2"/>
          </rPr>
          <t xml:space="preserve">Low Warning  AA006:  Metric difference from prior year &gt;= 20% </t>
        </r>
      </text>
    </comment>
    <comment ref="K286" authorId="1" shapeId="0" xr:uid="{78169196-1C04-45D8-BF44-F178D79BF3AF}">
      <text>
        <r>
          <rPr>
            <sz val="8"/>
            <color rgb="FF000000"/>
            <rFont val="Tahoma"/>
            <family val="2"/>
          </rPr>
          <t xml:space="preserve">Low Warning  AA006:  Metric difference from prior year &gt;= 20% </t>
        </r>
      </text>
    </comment>
    <comment ref="O286" authorId="1" shapeId="0" xr:uid="{13BA2236-C1C1-4564-ABB4-AE5652E45EC3}">
      <text>
        <r>
          <rPr>
            <sz val="8"/>
            <color rgb="FF000000"/>
            <rFont val="Tahoma"/>
            <family val="2"/>
          </rPr>
          <t xml:space="preserve">Low Warning  AA006:  Metric difference from prior year &gt;= 20% </t>
        </r>
      </text>
    </comment>
    <comment ref="P286" authorId="1" shapeId="0" xr:uid="{03A038B3-5C27-4901-8D9B-39F06EFB2BB7}">
      <text>
        <r>
          <rPr>
            <sz val="8"/>
            <color rgb="FF000000"/>
            <rFont val="Tahoma"/>
            <family val="2"/>
          </rPr>
          <t>Moderate Warning  AA008:  Large Metric difference from prior year &gt;= 50%</t>
        </r>
      </text>
    </comment>
    <comment ref="I287" authorId="1" shapeId="0" xr:uid="{5AB4F533-A9D4-42BB-9308-C11A703D7DF3}">
      <text>
        <r>
          <rPr>
            <sz val="8"/>
            <color rgb="FF000000"/>
            <rFont val="Tahoma"/>
            <family val="2"/>
          </rPr>
          <t xml:space="preserve">Low Warning  AA006:  Metric difference from prior year &gt;= 20% </t>
        </r>
      </text>
    </comment>
    <comment ref="K287" authorId="1" shapeId="0" xr:uid="{D76B5A3D-9DFF-417A-A25B-24527255491B}">
      <text>
        <r>
          <rPr>
            <sz val="8"/>
            <color rgb="FF000000"/>
            <rFont val="Tahoma"/>
            <family val="2"/>
          </rPr>
          <t xml:space="preserve">Low Warning  AA006:  Metric difference from prior year &gt;= 20% </t>
        </r>
      </text>
    </comment>
    <comment ref="P287" authorId="1" shapeId="0" xr:uid="{A15C37BB-8353-4CD7-AF84-5693F8F024CC}">
      <text>
        <r>
          <rPr>
            <sz val="8"/>
            <color rgb="FF000000"/>
            <rFont val="Tahoma"/>
            <family val="2"/>
          </rPr>
          <t>Moderate Warning  AA008:  Large Metric difference from prior year &gt;= 50%</t>
        </r>
      </text>
    </comment>
    <comment ref="K288" authorId="1" shapeId="0" xr:uid="{14D24B02-AC06-416F-BA28-863A2C24A435}">
      <text>
        <r>
          <rPr>
            <sz val="8"/>
            <color rgb="FF000000"/>
            <rFont val="Tahoma"/>
            <family val="2"/>
          </rPr>
          <t xml:space="preserve">Low Warning  AA006:  Metric difference from prior year &gt;= 20% </t>
        </r>
      </text>
    </comment>
    <comment ref="I289" authorId="1" shapeId="0" xr:uid="{62A476A2-90E1-4991-B36D-F93833C5FA26}">
      <text>
        <r>
          <rPr>
            <sz val="8"/>
            <color rgb="FF000000"/>
            <rFont val="Tahoma"/>
            <family val="2"/>
          </rPr>
          <t xml:space="preserve">Low Warning  AA006:  Metric difference from prior year &gt;= 20% </t>
        </r>
      </text>
    </comment>
    <comment ref="K289" authorId="1" shapeId="0" xr:uid="{0F9E6FDC-8118-40FD-85B4-7E21CF1AC440}">
      <text>
        <r>
          <rPr>
            <sz val="8"/>
            <color rgb="FF000000"/>
            <rFont val="Tahoma"/>
            <family val="2"/>
          </rPr>
          <t xml:space="preserve">Low Warning  AA006:  Metric difference from prior year &gt;= 20% </t>
        </r>
      </text>
    </comment>
    <comment ref="O289" authorId="1" shapeId="0" xr:uid="{E9FCF034-36D2-422B-ADC4-E81B7F586292}">
      <text>
        <r>
          <rPr>
            <sz val="8"/>
            <color rgb="FF000000"/>
            <rFont val="Tahoma"/>
            <family val="2"/>
          </rPr>
          <t xml:space="preserve">Low Warning  AA006:  Metric difference from prior year &gt;= 20% </t>
        </r>
      </text>
    </comment>
    <comment ref="I290" authorId="1" shapeId="0" xr:uid="{F2DEB1E1-D33E-46DC-930C-B969FA45AF85}">
      <text>
        <r>
          <rPr>
            <sz val="8"/>
            <color rgb="FF000000"/>
            <rFont val="Tahoma"/>
            <family val="2"/>
          </rPr>
          <t xml:space="preserve">Low Warning  AA006:  Metric difference from prior year &gt;= 20% </t>
        </r>
      </text>
    </comment>
    <comment ref="K290" authorId="1" shapeId="0" xr:uid="{A1FC7FE0-A393-41C8-939E-CD97ED86ABA7}">
      <text>
        <r>
          <rPr>
            <sz val="8"/>
            <color rgb="FF000000"/>
            <rFont val="Tahoma"/>
            <family val="2"/>
          </rPr>
          <t>Moderate Warning  AA008:  Large Metric difference from prior year &gt;= 50%</t>
        </r>
      </text>
    </comment>
    <comment ref="O290" authorId="1" shapeId="0" xr:uid="{CD7DC61F-9C08-414A-9358-45E8E2F2A2F4}">
      <text>
        <r>
          <rPr>
            <sz val="8"/>
            <color rgb="FF000000"/>
            <rFont val="Tahoma"/>
            <family val="2"/>
          </rPr>
          <t xml:space="preserve">Low Warning  AA006:  Metric difference from prior year &gt;= 20% </t>
        </r>
      </text>
    </comment>
    <comment ref="P290" authorId="1" shapeId="0" xr:uid="{F3A167A3-B1CD-417B-A4F8-E7B20AC76621}">
      <text>
        <r>
          <rPr>
            <sz val="8"/>
            <color rgb="FF000000"/>
            <rFont val="Tahoma"/>
            <family val="2"/>
          </rPr>
          <t>Moderate Warning  AA008:  Large Metric difference from prior year &gt;= 50%</t>
        </r>
      </text>
    </comment>
    <comment ref="K291" authorId="1" shapeId="0" xr:uid="{BDB633F3-EB08-4842-8924-3305F41CF104}">
      <text>
        <r>
          <rPr>
            <sz val="8"/>
            <color rgb="FF000000"/>
            <rFont val="Tahoma"/>
            <family val="2"/>
          </rPr>
          <t>Moderate Warning  AA008:  Large Metric difference from prior year &gt;= 50%</t>
        </r>
      </text>
    </comment>
    <comment ref="I292" authorId="1" shapeId="0" xr:uid="{95D87200-0267-4CAB-B630-6EF89789A668}">
      <text>
        <r>
          <rPr>
            <sz val="8"/>
            <color rgb="FF000000"/>
            <rFont val="Tahoma"/>
            <family val="2"/>
          </rPr>
          <t xml:space="preserve">Low Warning  AA006:  Metric difference from prior year &gt;= 20% </t>
        </r>
      </text>
    </comment>
    <comment ref="O292" authorId="1" shapeId="0" xr:uid="{F4B10E12-C08D-4A36-BC18-B88205EC9313}">
      <text>
        <r>
          <rPr>
            <sz val="8"/>
            <color rgb="FF000000"/>
            <rFont val="Tahoma"/>
            <family val="2"/>
          </rPr>
          <t>Moderate Warning  AA008:  Large Metric difference from prior year &gt;= 50%</t>
        </r>
      </text>
    </comment>
    <comment ref="K293" authorId="1" shapeId="0" xr:uid="{51FC643C-8363-42F3-A529-CAFF51333922}">
      <text>
        <r>
          <rPr>
            <sz val="8"/>
            <color rgb="FF000000"/>
            <rFont val="Tahoma"/>
            <family val="2"/>
          </rPr>
          <t xml:space="preserve">Low Warning  AA006:  Metric difference from prior year &gt;= 20% </t>
        </r>
      </text>
    </comment>
    <comment ref="I294" authorId="1" shapeId="0" xr:uid="{9911CB2E-7CB0-403C-BCF9-192B0C8FD89D}">
      <text>
        <r>
          <rPr>
            <sz val="8"/>
            <color rgb="FF000000"/>
            <rFont val="Tahoma"/>
            <family val="2"/>
          </rPr>
          <t xml:space="preserve">Low Warning  AA006:  Metric difference from prior year &gt;= 20% </t>
        </r>
      </text>
    </comment>
    <comment ref="K294" authorId="1" shapeId="0" xr:uid="{9A38CD7B-078A-4058-B5CB-71B2875A89AA}">
      <text>
        <r>
          <rPr>
            <sz val="8"/>
            <color rgb="FF000000"/>
            <rFont val="Tahoma"/>
            <family val="2"/>
          </rPr>
          <t>Moderate Warning  AA008:  Large Metric difference from prior year &gt;= 50%</t>
        </r>
      </text>
    </comment>
    <comment ref="I295" authorId="1" shapeId="0" xr:uid="{E88E0D15-4D6E-4414-857E-98C549CF198E}">
      <text>
        <r>
          <rPr>
            <sz val="8"/>
            <color rgb="FF000000"/>
            <rFont val="Tahoma"/>
            <family val="2"/>
          </rPr>
          <t xml:space="preserve">Low Warning  AA006:  Metric difference from prior year &gt;= 20% </t>
        </r>
      </text>
    </comment>
    <comment ref="O295" authorId="1" shapeId="0" xr:uid="{677DFF49-50C4-4697-9857-64AFADF6C3A1}">
      <text>
        <r>
          <rPr>
            <sz val="8"/>
            <color rgb="FF000000"/>
            <rFont val="Tahoma"/>
            <family val="2"/>
          </rPr>
          <t xml:space="preserve">Low Warning  AA006:  Metric difference from prior year &gt;= 20% </t>
        </r>
      </text>
    </comment>
    <comment ref="P295" authorId="1" shapeId="0" xr:uid="{0BE81CBC-D2C0-4CD9-AC28-53D988BC762E}">
      <text>
        <r>
          <rPr>
            <sz val="8"/>
            <color rgb="FF000000"/>
            <rFont val="Tahoma"/>
            <family val="2"/>
          </rPr>
          <t>Moderate Warning  AA008:  Large Metric difference from prior year &gt;= 50%</t>
        </r>
      </text>
    </comment>
    <comment ref="I296" authorId="1" shapeId="0" xr:uid="{5ED4D668-EAAA-4D5C-8F51-3D551F8C7893}">
      <text>
        <r>
          <rPr>
            <sz val="8"/>
            <color rgb="FF000000"/>
            <rFont val="Tahoma"/>
            <family val="2"/>
          </rPr>
          <t>Moderate Warning  AA008:  Large Metric difference from prior year &gt;= 50%</t>
        </r>
      </text>
    </comment>
    <comment ref="K296" authorId="1" shapeId="0" xr:uid="{E58B144D-0CC6-4AA7-8D75-718D9C59B944}">
      <text>
        <r>
          <rPr>
            <sz val="8"/>
            <color rgb="FF000000"/>
            <rFont val="Tahoma"/>
            <family val="2"/>
          </rPr>
          <t xml:space="preserve">Low Warning  AA006:  Metric difference from prior year &gt;= 20% </t>
        </r>
      </text>
    </comment>
    <comment ref="O296" authorId="1" shapeId="0" xr:uid="{D692921F-6332-49A6-AE34-A81E6139E393}">
      <text>
        <r>
          <rPr>
            <sz val="8"/>
            <color rgb="FF000000"/>
            <rFont val="Tahoma"/>
            <family val="2"/>
          </rPr>
          <t xml:space="preserve">Low Warning  AA006:  Metric difference from prior year &gt;= 20% </t>
        </r>
      </text>
    </comment>
    <comment ref="P296" authorId="1" shapeId="0" xr:uid="{2F7EAA50-5FFC-4BCF-89FA-5E2FB695ABE4}">
      <text>
        <r>
          <rPr>
            <sz val="8"/>
            <color rgb="FF000000"/>
            <rFont val="Tahoma"/>
            <family val="2"/>
          </rPr>
          <t>Moderate Warning  AA008:  Large Metric difference from prior year &gt;= 50%</t>
        </r>
      </text>
    </comment>
    <comment ref="I297" authorId="1" shapeId="0" xr:uid="{65AAFB4D-2131-4AB8-B382-EFAF9A3C65A3}">
      <text>
        <r>
          <rPr>
            <sz val="8"/>
            <color rgb="FF000000"/>
            <rFont val="Tahoma"/>
            <family val="2"/>
          </rPr>
          <t>Moderate Warning  AA008:  Large Metric difference from prior year &gt;= 50%</t>
        </r>
      </text>
    </comment>
    <comment ref="K297" authorId="1" shapeId="0" xr:uid="{172561E2-B4C6-4A04-BC53-55A914C068BF}">
      <text>
        <r>
          <rPr>
            <sz val="8"/>
            <color rgb="FF000000"/>
            <rFont val="Tahoma"/>
            <family val="2"/>
          </rPr>
          <t>Moderate Warning  AA008:  Large Metric difference from prior year &gt;= 50%</t>
        </r>
      </text>
    </comment>
    <comment ref="O297" authorId="1" shapeId="0" xr:uid="{B33DAC59-7FC4-4441-A564-029A6BE05046}">
      <text>
        <r>
          <rPr>
            <sz val="8"/>
            <color rgb="FF000000"/>
            <rFont val="Tahoma"/>
            <family val="2"/>
          </rPr>
          <t xml:space="preserve">Low Warning  AA006:  Metric difference from prior year &gt;= 20% </t>
        </r>
      </text>
    </comment>
    <comment ref="I298" authorId="1" shapeId="0" xr:uid="{8652B296-42B7-49C8-9087-F0C2B64AE998}">
      <text>
        <r>
          <rPr>
            <sz val="8"/>
            <color rgb="FF000000"/>
            <rFont val="Tahoma"/>
            <family val="2"/>
          </rPr>
          <t xml:space="preserve">Low Warning  AA006:  Metric difference from prior year &gt;= 20% </t>
        </r>
      </text>
    </comment>
    <comment ref="O298" authorId="1" shapeId="0" xr:uid="{C0D20699-964B-4F7D-B854-81A46C5E607F}">
      <text>
        <r>
          <rPr>
            <sz val="8"/>
            <color rgb="FF000000"/>
            <rFont val="Tahoma"/>
            <family val="2"/>
          </rPr>
          <t>Moderate Warning  AA008:  Large Metric difference from prior year &gt;= 50%</t>
        </r>
      </text>
    </comment>
    <comment ref="P298" authorId="1" shapeId="0" xr:uid="{2C92FE36-E607-45BD-9C1B-F29F9FE310DC}">
      <text>
        <r>
          <rPr>
            <sz val="8"/>
            <color rgb="FF000000"/>
            <rFont val="Tahoma"/>
            <family val="2"/>
          </rPr>
          <t>Moderate Warning  AA008:  Large Metric difference from prior year &gt;= 50%</t>
        </r>
      </text>
    </comment>
    <comment ref="I299" authorId="1" shapeId="0" xr:uid="{684F3988-7196-402D-9332-CF8C03729147}">
      <text>
        <r>
          <rPr>
            <sz val="8"/>
            <color rgb="FF000000"/>
            <rFont val="Tahoma"/>
            <family val="2"/>
          </rPr>
          <t xml:space="preserve">Low Warning  AA006:  Metric difference from prior year &gt;= 20% </t>
        </r>
      </text>
    </comment>
    <comment ref="O299" authorId="1" shapeId="0" xr:uid="{CFA13562-B684-4936-83B3-5017138A69F2}">
      <text>
        <r>
          <rPr>
            <sz val="8"/>
            <color rgb="FF000000"/>
            <rFont val="Tahoma"/>
            <family val="2"/>
          </rPr>
          <t xml:space="preserve">Low Warning  AA006:  Metric difference from prior year &gt;= 20% </t>
        </r>
      </text>
    </comment>
    <comment ref="P299" authorId="1" shapeId="0" xr:uid="{1777B3A4-F0D9-4189-B9A2-B559603DAFDD}">
      <text>
        <r>
          <rPr>
            <sz val="8"/>
            <color rgb="FF000000"/>
            <rFont val="Tahoma"/>
            <family val="2"/>
          </rPr>
          <t>Moderate Warning  AA008:  Large Metric difference from prior year &gt;= 50%</t>
        </r>
      </text>
    </comment>
    <comment ref="I300" authorId="1" shapeId="0" xr:uid="{75D48D27-10FB-412A-8A94-9AE6DCE821D7}">
      <text>
        <r>
          <rPr>
            <sz val="8"/>
            <color rgb="FF000000"/>
            <rFont val="Tahoma"/>
            <family val="2"/>
          </rPr>
          <t xml:space="preserve">Low Warning  AA006:  Metric difference from prior year &gt;= 20% </t>
        </r>
      </text>
    </comment>
    <comment ref="K300" authorId="1" shapeId="0" xr:uid="{CA53A1EB-F7BA-499A-9E0D-8611151F73DF}">
      <text>
        <r>
          <rPr>
            <sz val="8"/>
            <color rgb="FF000000"/>
            <rFont val="Tahoma"/>
            <family val="2"/>
          </rPr>
          <t>Moderate Warning  AA008:  Large Metric difference from prior year &gt;= 50%</t>
        </r>
      </text>
    </comment>
    <comment ref="O300" authorId="1" shapeId="0" xr:uid="{A2EC2952-C921-4CA0-B3BE-96A68BF5A211}">
      <text>
        <r>
          <rPr>
            <sz val="8"/>
            <color rgb="FF000000"/>
            <rFont val="Tahoma"/>
            <family val="2"/>
          </rPr>
          <t xml:space="preserve">Low Warning  AA006:  Metric difference from prior year &gt;= 20% </t>
        </r>
      </text>
    </comment>
    <comment ref="P300" authorId="1" shapeId="0" xr:uid="{F3DD90ED-D52C-4B66-AFE4-0FBEFB9276DB}">
      <text>
        <r>
          <rPr>
            <sz val="8"/>
            <color rgb="FF000000"/>
            <rFont val="Tahoma"/>
            <family val="2"/>
          </rPr>
          <t>Moderate Warning  AA008:  Large Metric difference from prior year &gt;= 50%</t>
        </r>
      </text>
    </comment>
    <comment ref="O301" authorId="1" shapeId="0" xr:uid="{E7C0F1C5-03AB-4650-8722-DE79198A29DE}">
      <text>
        <r>
          <rPr>
            <sz val="8"/>
            <color rgb="FF000000"/>
            <rFont val="Tahoma"/>
            <family val="2"/>
          </rPr>
          <t xml:space="preserve">Low Warning  AA006:  Metric difference from prior year &gt;= 20% </t>
        </r>
      </text>
    </comment>
    <comment ref="P301" authorId="1" shapeId="0" xr:uid="{15ECB44D-DB76-4C47-B759-B71AA7F83EE4}">
      <text>
        <r>
          <rPr>
            <sz val="8"/>
            <color rgb="FF000000"/>
            <rFont val="Tahoma"/>
            <family val="2"/>
          </rPr>
          <t>Moderate Warning  AA008:  Large Metric difference from prior year &gt;= 50%</t>
        </r>
      </text>
    </comment>
    <comment ref="I302" authorId="1" shapeId="0" xr:uid="{7DD3F568-E936-4F91-ABC3-5B81A6471F65}">
      <text>
        <r>
          <rPr>
            <sz val="8"/>
            <color rgb="FF000000"/>
            <rFont val="Tahoma"/>
            <family val="2"/>
          </rPr>
          <t>Moderate Warning  AA008:  Large Metric difference from prior year &gt;= 50%</t>
        </r>
      </text>
    </comment>
    <comment ref="K302" authorId="1" shapeId="0" xr:uid="{506ED99D-62C5-4282-A591-F625E1C57C3C}">
      <text>
        <r>
          <rPr>
            <sz val="8"/>
            <color rgb="FF000000"/>
            <rFont val="Tahoma"/>
            <family val="2"/>
          </rPr>
          <t xml:space="preserve">Severe Warning  AA009:  Substantial Metric difference from prior year &gt;=100% </t>
        </r>
      </text>
    </comment>
    <comment ref="O302" authorId="1" shapeId="0" xr:uid="{6259A92F-ADBF-4270-836A-F1F4F31422B7}">
      <text>
        <r>
          <rPr>
            <sz val="8"/>
            <color rgb="FF000000"/>
            <rFont val="Tahoma"/>
            <family val="2"/>
          </rPr>
          <t>Moderate Warning  AA008:  Large Metric difference from prior year &gt;= 50%</t>
        </r>
      </text>
    </comment>
    <comment ref="P302" authorId="1" shapeId="0" xr:uid="{482AA365-BCC7-4A82-B72B-999D2478B814}">
      <text>
        <r>
          <rPr>
            <sz val="8"/>
            <color rgb="FF000000"/>
            <rFont val="Tahoma"/>
            <family val="2"/>
          </rPr>
          <t>Moderate Warning  AA008:  Large Metric difference from prior year &gt;= 50%</t>
        </r>
      </text>
    </comment>
    <comment ref="I304" authorId="1" shapeId="0" xr:uid="{2F00D7E4-0EF3-4A10-8E17-EA59DE3D1280}">
      <text>
        <r>
          <rPr>
            <sz val="8"/>
            <color rgb="FF000000"/>
            <rFont val="Tahoma"/>
            <family val="2"/>
          </rPr>
          <t xml:space="preserve">Low Warning  AA006:  Metric difference from prior year &gt;= 20% </t>
        </r>
      </text>
    </comment>
    <comment ref="K304" authorId="1" shapeId="0" xr:uid="{EB101D79-B778-4916-A696-738840D9E7F1}">
      <text>
        <r>
          <rPr>
            <sz val="8"/>
            <color rgb="FF000000"/>
            <rFont val="Tahoma"/>
            <family val="2"/>
          </rPr>
          <t xml:space="preserve">Low Warning  AA006:  Metric difference from prior year &gt;= 20% </t>
        </r>
      </text>
    </comment>
    <comment ref="O304" authorId="1" shapeId="0" xr:uid="{4706D2B7-8131-41A0-8774-AB160157E84B}">
      <text>
        <r>
          <rPr>
            <sz val="8"/>
            <color rgb="FF000000"/>
            <rFont val="Tahoma"/>
            <family val="2"/>
          </rPr>
          <t xml:space="preserve">Low Warning  AA006:  Metric difference from prior year &gt;= 20% </t>
        </r>
      </text>
    </comment>
    <comment ref="I305" authorId="1" shapeId="0" xr:uid="{6EA509F8-3356-46D8-A82D-864A179C9DB7}">
      <text>
        <r>
          <rPr>
            <sz val="8"/>
            <color rgb="FF000000"/>
            <rFont val="Tahoma"/>
            <family val="2"/>
          </rPr>
          <t xml:space="preserve">Low Warning  AA006:  Metric difference from prior year &gt;= 20% </t>
        </r>
      </text>
    </comment>
    <comment ref="K306" authorId="1" shapeId="0" xr:uid="{C4131CBD-C221-4684-ACC0-4294FCAE8988}">
      <text>
        <r>
          <rPr>
            <sz val="8"/>
            <color rgb="FF000000"/>
            <rFont val="Tahoma"/>
            <family val="2"/>
          </rPr>
          <t xml:space="preserve">Low Warning  AA006:  Metric difference from prior year &gt;= 20% </t>
        </r>
      </text>
    </comment>
    <comment ref="P306" authorId="1" shapeId="0" xr:uid="{BB55D256-12C9-42D0-ABEC-5148BDE8626B}">
      <text>
        <r>
          <rPr>
            <sz val="8"/>
            <color rgb="FF000000"/>
            <rFont val="Tahoma"/>
            <family val="2"/>
          </rPr>
          <t>Moderate Warning  AA008:  Large Metric difference from prior year &gt;= 50%</t>
        </r>
      </text>
    </comment>
    <comment ref="I307" authorId="1" shapeId="0" xr:uid="{DA58BEA2-FAFB-475B-9B0B-3AF05DA29827}">
      <text>
        <r>
          <rPr>
            <sz val="8"/>
            <color rgb="FF000000"/>
            <rFont val="Tahoma"/>
            <family val="2"/>
          </rPr>
          <t xml:space="preserve">Low Warning  AA006:  Metric difference from prior year &gt;= 20% </t>
        </r>
      </text>
    </comment>
    <comment ref="K307" authorId="1" shapeId="0" xr:uid="{88461596-562E-4B7A-A8CF-9D161A1BD0ED}">
      <text>
        <r>
          <rPr>
            <sz val="8"/>
            <color rgb="FF000000"/>
            <rFont val="Tahoma"/>
            <family val="2"/>
          </rPr>
          <t xml:space="preserve">Severe Warning  AA009:  Substantial Metric difference from prior year &gt;=100% </t>
        </r>
      </text>
    </comment>
    <comment ref="O307" authorId="1" shapeId="0" xr:uid="{EAE3909C-A419-4B5D-864B-574F932B02E3}">
      <text>
        <r>
          <rPr>
            <sz val="8"/>
            <color rgb="FF000000"/>
            <rFont val="Tahoma"/>
            <family val="2"/>
          </rPr>
          <t xml:space="preserve">Low Warning  AA006:  Metric difference from prior year &gt;= 20% </t>
        </r>
      </text>
    </comment>
    <comment ref="K308" authorId="1" shapeId="0" xr:uid="{F5BF6E80-3ABC-491D-A75E-53C4FB9BD779}">
      <text>
        <r>
          <rPr>
            <sz val="8"/>
            <color rgb="FF000000"/>
            <rFont val="Tahoma"/>
            <family val="2"/>
          </rPr>
          <t xml:space="preserve">Low Warning  AA006:  Metric difference from prior year &gt;= 20% </t>
        </r>
      </text>
    </comment>
    <comment ref="O308" authorId="1" shapeId="0" xr:uid="{5C4BCC40-7D13-49BC-AC03-AD48F7932FC8}">
      <text>
        <r>
          <rPr>
            <sz val="8"/>
            <color rgb="FF000000"/>
            <rFont val="Tahoma"/>
            <family val="2"/>
          </rPr>
          <t xml:space="preserve">Low Warning  AA006:  Metric difference from prior year &gt;= 20% </t>
        </r>
      </text>
    </comment>
    <comment ref="I309" authorId="1" shapeId="0" xr:uid="{223C7E17-1FBF-49F3-B396-1F0109B58A93}">
      <text>
        <r>
          <rPr>
            <sz val="8"/>
            <color rgb="FF000000"/>
            <rFont val="Tahoma"/>
            <family val="2"/>
          </rPr>
          <t xml:space="preserve">Low Warning  AA006:  Metric difference from prior year &gt;= 20% </t>
        </r>
      </text>
    </comment>
    <comment ref="K309" authorId="1" shapeId="0" xr:uid="{DF8625CA-4658-431C-A51B-9A2A86E7928B}">
      <text>
        <r>
          <rPr>
            <sz val="8"/>
            <color rgb="FF000000"/>
            <rFont val="Tahoma"/>
            <family val="2"/>
          </rPr>
          <t>Moderate Warning  AA008:  Large Metric difference from prior year &gt;= 50%</t>
        </r>
      </text>
    </comment>
    <comment ref="O309" authorId="1" shapeId="0" xr:uid="{920721C8-097F-4200-8195-40CCFA2CAE02}">
      <text>
        <r>
          <rPr>
            <sz val="8"/>
            <color rgb="FF000000"/>
            <rFont val="Tahoma"/>
            <family val="2"/>
          </rPr>
          <t xml:space="preserve">Low Warning  AA006:  Metric difference from prior year &gt;= 20% </t>
        </r>
      </text>
    </comment>
    <comment ref="P309" authorId="1" shapeId="0" xr:uid="{F5DB8DE8-40E5-422B-AA9A-849415465022}">
      <text>
        <r>
          <rPr>
            <sz val="8"/>
            <color rgb="FF000000"/>
            <rFont val="Tahoma"/>
            <family val="2"/>
          </rPr>
          <t>Moderate Warning  AA008:  Large Metric difference from prior year &gt;= 50%</t>
        </r>
      </text>
    </comment>
    <comment ref="K310" authorId="1" shapeId="0" xr:uid="{1FC4645D-28A5-46DC-B6BB-BE55F9F759AC}">
      <text>
        <r>
          <rPr>
            <sz val="8"/>
            <color rgb="FF000000"/>
            <rFont val="Tahoma"/>
            <family val="2"/>
          </rPr>
          <t xml:space="preserve">Low Warning  AA006:  Metric difference from prior year &gt;= 20% </t>
        </r>
      </text>
    </comment>
    <comment ref="O310" authorId="1" shapeId="0" xr:uid="{6E1FE59F-FDFD-4453-BE6F-8A9E12B8F231}">
      <text>
        <r>
          <rPr>
            <sz val="8"/>
            <color rgb="FF000000"/>
            <rFont val="Tahoma"/>
            <family val="2"/>
          </rPr>
          <t xml:space="preserve">Low Warning  AA006:  Metric difference from prior year &gt;= 20% </t>
        </r>
      </text>
    </comment>
    <comment ref="I311" authorId="1" shapeId="0" xr:uid="{5C8DE4D4-A6C8-4313-876D-72099761FEED}">
      <text>
        <r>
          <rPr>
            <sz val="8"/>
            <color rgb="FF000000"/>
            <rFont val="Tahoma"/>
            <family val="2"/>
          </rPr>
          <t xml:space="preserve">Low Warning  AA006:  Metric difference from prior year &gt;= 20% </t>
        </r>
      </text>
    </comment>
    <comment ref="K311" authorId="1" shapeId="0" xr:uid="{218237FC-2F03-4D7F-9E76-C1C583FA0E31}">
      <text>
        <r>
          <rPr>
            <sz val="8"/>
            <color rgb="FF000000"/>
            <rFont val="Tahoma"/>
            <family val="2"/>
          </rPr>
          <t xml:space="preserve">Low Warning  AA006:  Metric difference from prior year &gt;= 20% </t>
        </r>
      </text>
    </comment>
    <comment ref="O311" authorId="1" shapeId="0" xr:uid="{8A0DA8F3-9D87-417C-B16D-191A915AB0D0}">
      <text>
        <r>
          <rPr>
            <sz val="8"/>
            <color rgb="FF000000"/>
            <rFont val="Tahoma"/>
            <family val="2"/>
          </rPr>
          <t xml:space="preserve">Low Warning  AA006:  Metric difference from prior year &gt;= 20% </t>
        </r>
      </text>
    </comment>
    <comment ref="I312" authorId="1" shapeId="0" xr:uid="{DC771D3C-5DE7-46DA-B5F0-0E684912F1C9}">
      <text>
        <r>
          <rPr>
            <sz val="8"/>
            <color rgb="FF000000"/>
            <rFont val="Tahoma"/>
            <family val="2"/>
          </rPr>
          <t xml:space="preserve">Low Warning  AA006:  Metric difference from prior year &gt;= 20% </t>
        </r>
      </text>
    </comment>
    <comment ref="K312" authorId="1" shapeId="0" xr:uid="{AC7A457D-9A5D-4FEC-9D3A-B2BDF8DBD47C}">
      <text>
        <r>
          <rPr>
            <sz val="8"/>
            <color rgb="FF000000"/>
            <rFont val="Tahoma"/>
            <family val="2"/>
          </rPr>
          <t>Moderate Warning  AA008:  Large Metric difference from prior year &gt;= 50%</t>
        </r>
      </text>
    </comment>
    <comment ref="O312" authorId="1" shapeId="0" xr:uid="{B0A16BEA-01A8-421E-A7A7-6F9E9EB345AC}">
      <text>
        <r>
          <rPr>
            <sz val="8"/>
            <color rgb="FF000000"/>
            <rFont val="Tahoma"/>
            <family val="2"/>
          </rPr>
          <t xml:space="preserve">Low Warning  AA006:  Metric difference from prior year &gt;= 20% </t>
        </r>
      </text>
    </comment>
    <comment ref="P312" authorId="1" shapeId="0" xr:uid="{35ADBB5F-8F2C-4933-9388-1C8BEA28DBA4}">
      <text>
        <r>
          <rPr>
            <sz val="8"/>
            <color rgb="FF000000"/>
            <rFont val="Tahoma"/>
            <family val="2"/>
          </rPr>
          <t>Moderate Warning  AA008:  Large Metric difference from prior year &gt;= 50%</t>
        </r>
      </text>
    </comment>
    <comment ref="K313" authorId="1" shapeId="0" xr:uid="{9FA74FA3-0693-4073-8CA5-64F53E488CC5}">
      <text>
        <r>
          <rPr>
            <sz val="8"/>
            <color rgb="FF000000"/>
            <rFont val="Tahoma"/>
            <family val="2"/>
          </rPr>
          <t>Moderate Warning  AA008:  Large Metric difference from prior year &gt;= 50%</t>
        </r>
      </text>
    </comment>
    <comment ref="I314" authorId="1" shapeId="0" xr:uid="{813CE442-CB36-412C-A40C-5EF7AA6B1F49}">
      <text>
        <r>
          <rPr>
            <sz val="8"/>
            <color rgb="FF000000"/>
            <rFont val="Tahoma"/>
            <family val="2"/>
          </rPr>
          <t xml:space="preserve">Low Warning  AA006:  Metric difference from prior year &gt;= 20% </t>
        </r>
      </text>
    </comment>
    <comment ref="K315" authorId="1" shapeId="0" xr:uid="{70684765-C1CD-42AA-A325-D91DF6F44232}">
      <text>
        <r>
          <rPr>
            <sz val="8"/>
            <color rgb="FF000000"/>
            <rFont val="Tahoma"/>
            <family val="2"/>
          </rPr>
          <t>Moderate Warning  AA008:  Large Metric difference from prior year &gt;= 50%</t>
        </r>
      </text>
    </comment>
    <comment ref="P315" authorId="1" shapeId="0" xr:uid="{E7114F52-37C7-4A03-A772-B25BB7A59C5E}">
      <text>
        <r>
          <rPr>
            <sz val="8"/>
            <color rgb="FF000000"/>
            <rFont val="Tahoma"/>
            <family val="2"/>
          </rPr>
          <t>Moderate Warning  AA008:  Large Metric difference from prior year &gt;= 50%</t>
        </r>
      </text>
    </comment>
    <comment ref="I316" authorId="1" shapeId="0" xr:uid="{AAF25ADE-3725-4D41-B529-EBDD320F6EF7}">
      <text>
        <r>
          <rPr>
            <sz val="8"/>
            <color rgb="FF000000"/>
            <rFont val="Tahoma"/>
            <family val="2"/>
          </rPr>
          <t xml:space="preserve">Low Warning  AA006:  Metric difference from prior year &gt;= 20% </t>
        </r>
      </text>
    </comment>
    <comment ref="K316" authorId="1" shapeId="0" xr:uid="{6EC784AF-D2A8-47B3-800D-31A527DF3186}">
      <text>
        <r>
          <rPr>
            <sz val="8"/>
            <color rgb="FF000000"/>
            <rFont val="Tahoma"/>
            <family val="2"/>
          </rPr>
          <t>Moderate Warning  AA008:  Large Metric difference from prior year &gt;= 50%</t>
        </r>
      </text>
    </comment>
    <comment ref="I317" authorId="1" shapeId="0" xr:uid="{A9DD3064-5FED-4629-8627-6D156045CC9A}">
      <text>
        <r>
          <rPr>
            <sz val="8"/>
            <color rgb="FF000000"/>
            <rFont val="Tahoma"/>
            <family val="2"/>
          </rPr>
          <t xml:space="preserve">Low Warning  AA006:  Metric difference from prior year &gt;= 20% </t>
        </r>
      </text>
    </comment>
    <comment ref="O317" authorId="1" shapeId="0" xr:uid="{637F83C9-C650-4856-82A9-F48C76A8F202}">
      <text>
        <r>
          <rPr>
            <sz val="8"/>
            <color rgb="FF000000"/>
            <rFont val="Tahoma"/>
            <family val="2"/>
          </rPr>
          <t>Moderate Warning  AA008:  Large Metric difference from prior year &gt;= 50%</t>
        </r>
      </text>
    </comment>
    <comment ref="I318" authorId="1" shapeId="0" xr:uid="{30AFE4E8-DBE8-4373-98AC-E3B42DF6E4C6}">
      <text>
        <r>
          <rPr>
            <sz val="8"/>
            <color rgb="FF000000"/>
            <rFont val="Tahoma"/>
            <family val="2"/>
          </rPr>
          <t xml:space="preserve">Low Warning  AA006:  Metric difference from prior year &gt;= 20% </t>
        </r>
      </text>
    </comment>
    <comment ref="K318" authorId="1" shapeId="0" xr:uid="{BB22EE03-A816-4371-AD37-F9883AF5E8FF}">
      <text>
        <r>
          <rPr>
            <sz val="8"/>
            <color rgb="FF000000"/>
            <rFont val="Tahoma"/>
            <family val="2"/>
          </rPr>
          <t xml:space="preserve">Low Warning  AA006:  Metric difference from prior year &gt;= 20% </t>
        </r>
      </text>
    </comment>
    <comment ref="O318" authorId="1" shapeId="0" xr:uid="{9DCA7A93-621B-498B-A97A-81E904D48BA5}">
      <text>
        <r>
          <rPr>
            <sz val="8"/>
            <color rgb="FF000000"/>
            <rFont val="Tahoma"/>
            <family val="2"/>
          </rPr>
          <t>Moderate Warning  AA008:  Large Metric difference from prior year &gt;= 50%</t>
        </r>
      </text>
    </comment>
    <comment ref="P318" authorId="1" shapeId="0" xr:uid="{E1B71B84-12FF-48AF-8335-A2547DE80638}">
      <text>
        <r>
          <rPr>
            <sz val="8"/>
            <color rgb="FF000000"/>
            <rFont val="Tahoma"/>
            <family val="2"/>
          </rPr>
          <t>Moderate Warning  AA008:  Large Metric difference from prior year &gt;= 50%</t>
        </r>
      </text>
    </comment>
    <comment ref="I319" authorId="1" shapeId="0" xr:uid="{9EA926D7-6D12-44EB-9DF3-2BCD4CD655F8}">
      <text>
        <r>
          <rPr>
            <sz val="8"/>
            <color rgb="FF000000"/>
            <rFont val="Tahoma"/>
            <family val="2"/>
          </rPr>
          <t xml:space="preserve">Low Warning  AA006:  Metric difference from prior year &gt;= 20% </t>
        </r>
      </text>
    </comment>
    <comment ref="O319" authorId="1" shapeId="0" xr:uid="{2B0C18CD-95F2-4369-9809-1E8F2C8C71BA}">
      <text>
        <r>
          <rPr>
            <sz val="8"/>
            <color rgb="FF000000"/>
            <rFont val="Tahoma"/>
            <family val="2"/>
          </rPr>
          <t xml:space="preserve">Low Warning  AA006:  Metric difference from prior year &gt;= 20% </t>
        </r>
      </text>
    </comment>
    <comment ref="I320" authorId="1" shapeId="0" xr:uid="{78B91010-B45A-4050-87C6-4365AC9DC107}">
      <text>
        <r>
          <rPr>
            <sz val="8"/>
            <color rgb="FF000000"/>
            <rFont val="Tahoma"/>
            <family val="2"/>
          </rPr>
          <t xml:space="preserve">Low Warning  AA006:  Metric difference from prior year &gt;= 20% </t>
        </r>
      </text>
    </comment>
    <comment ref="K320" authorId="1" shapeId="0" xr:uid="{A0C343A9-C4B1-4CD7-8E2C-8C5AC86C662A}">
      <text>
        <r>
          <rPr>
            <sz val="8"/>
            <color rgb="FF000000"/>
            <rFont val="Tahoma"/>
            <family val="2"/>
          </rPr>
          <t xml:space="preserve">Low Warning  AA006:  Metric difference from prior year &gt;= 20% </t>
        </r>
      </text>
    </comment>
    <comment ref="I321" authorId="1" shapeId="0" xr:uid="{86E70563-F57E-41B4-B571-1313D327FF7B}">
      <text>
        <r>
          <rPr>
            <sz val="8"/>
            <color rgb="FF000000"/>
            <rFont val="Tahoma"/>
            <family val="2"/>
          </rPr>
          <t xml:space="preserve">Low Warning  AA006:  Metric difference from prior year &gt;= 20% </t>
        </r>
      </text>
    </comment>
    <comment ref="O321" authorId="1" shapeId="0" xr:uid="{5EEDDDAA-A5BC-472E-B17F-6A983486C9D1}">
      <text>
        <r>
          <rPr>
            <sz val="8"/>
            <color rgb="FF000000"/>
            <rFont val="Tahoma"/>
            <family val="2"/>
          </rPr>
          <t xml:space="preserve">Low Warning  AA006:  Metric difference from prior year &gt;= 20% </t>
        </r>
      </text>
    </comment>
    <comment ref="I323" authorId="1" shapeId="0" xr:uid="{707FC8AB-79D8-47E2-A30E-7C3E1618C3FF}">
      <text>
        <r>
          <rPr>
            <sz val="8"/>
            <color rgb="FF000000"/>
            <rFont val="Tahoma"/>
            <family val="2"/>
          </rPr>
          <t>Moderate Warning  AA008:  Large Metric difference from prior year &gt;= 50%</t>
        </r>
      </text>
    </comment>
    <comment ref="K323" authorId="1" shapeId="0" xr:uid="{F72DB0CC-488A-4E2F-B34A-7C181C7C181E}">
      <text>
        <r>
          <rPr>
            <sz val="8"/>
            <color rgb="FF000000"/>
            <rFont val="Tahoma"/>
            <family val="2"/>
          </rPr>
          <t xml:space="preserve">Severe Warning  AA009:  Substantial Metric difference from prior year &gt;=100% </t>
        </r>
      </text>
    </comment>
    <comment ref="O323" authorId="1" shapeId="0" xr:uid="{698060BC-2382-45B8-8063-DDBF9F72CBA1}">
      <text>
        <r>
          <rPr>
            <sz val="8"/>
            <color rgb="FF000000"/>
            <rFont val="Tahoma"/>
            <family val="2"/>
          </rPr>
          <t>Moderate Warning  AA008:  Large Metric difference from prior year &gt;= 50%</t>
        </r>
      </text>
    </comment>
    <comment ref="I324" authorId="1" shapeId="0" xr:uid="{55C74A13-8997-4AF1-BBB9-FBA26E1988AC}">
      <text>
        <r>
          <rPr>
            <sz val="8"/>
            <color rgb="FF000000"/>
            <rFont val="Tahoma"/>
            <family val="2"/>
          </rPr>
          <t xml:space="preserve">Low Warning  AA006:  Metric difference from prior year &gt;= 20% </t>
        </r>
      </text>
    </comment>
    <comment ref="O324" authorId="1" shapeId="0" xr:uid="{8956DF96-B567-4950-BC85-03509BBC4AB3}">
      <text>
        <r>
          <rPr>
            <sz val="8"/>
            <color rgb="FF000000"/>
            <rFont val="Tahoma"/>
            <family val="2"/>
          </rPr>
          <t xml:space="preserve">Low Warning  AA006:  Metric difference from prior year &gt;= 20% </t>
        </r>
      </text>
    </comment>
    <comment ref="I408" authorId="1" shapeId="0" xr:uid="{FC748CB1-820F-42A5-8D76-79317FDCEBE8}">
      <text>
        <r>
          <rPr>
            <sz val="8"/>
            <color rgb="FF000000"/>
            <rFont val="Tahoma"/>
            <family val="2"/>
          </rPr>
          <t xml:space="preserve">Severe Warning  AA009:  Substantial Metric difference from prior year &gt;=100% </t>
        </r>
      </text>
    </comment>
    <comment ref="K408" authorId="1" shapeId="0" xr:uid="{62899DB3-EAC2-4D2B-A164-727BADE18024}">
      <text>
        <r>
          <rPr>
            <sz val="8"/>
            <color rgb="FF000000"/>
            <rFont val="Tahoma"/>
            <family val="2"/>
          </rPr>
          <t xml:space="preserve">Severe Warning  AA009:  Substantial Metric difference from prior year &gt;=100% </t>
        </r>
      </text>
    </comment>
    <comment ref="O408" authorId="1" shapeId="0" xr:uid="{9B9A77F4-4ACF-4964-A4BA-6866D93352D2}">
      <text>
        <r>
          <rPr>
            <sz val="8"/>
            <color rgb="FF000000"/>
            <rFont val="Tahoma"/>
            <family val="2"/>
          </rPr>
          <t xml:space="preserve">Severe Warning  AA009:  Substantial Metric difference from prior year &gt;=100% </t>
        </r>
      </text>
    </comment>
    <comment ref="Q408" authorId="1" shapeId="0" xr:uid="{FCBB4815-B34D-4F99-A39B-FB2BE3947984}">
      <text>
        <r>
          <rPr>
            <sz val="8"/>
            <color rgb="FF000000"/>
            <rFont val="Tahoma"/>
            <family val="2"/>
          </rPr>
          <t xml:space="preserve">Severe Warning  AA009:  Substantial Metric difference from prior year &gt;=100% </t>
        </r>
      </text>
    </comment>
    <comment ref="W408" authorId="1" shapeId="0" xr:uid="{1CAFF05B-C62C-411A-8765-38D079C9F53C}">
      <text>
        <r>
          <rPr>
            <sz val="8"/>
            <color rgb="FF000000"/>
            <rFont val="Tahoma"/>
            <family val="2"/>
          </rPr>
          <t xml:space="preserve">Severe Warning  AA009:  Substantial Metric difference from prior year &gt;=100% </t>
        </r>
      </text>
    </comment>
    <comment ref="Y408" authorId="1" shapeId="0" xr:uid="{FE268400-E505-4301-8F1D-C45681FB8829}">
      <text>
        <r>
          <rPr>
            <sz val="8"/>
            <color rgb="FF000000"/>
            <rFont val="Tahoma"/>
            <family val="2"/>
          </rPr>
          <t xml:space="preserve">Severe Warning  AA009:  Substantial Metric difference from prior year &gt;=100% </t>
        </r>
      </text>
    </comment>
    <comment ref="AC408" authorId="1" shapeId="0" xr:uid="{CB413629-E5E8-4715-909E-270714EFC52A}">
      <text>
        <r>
          <rPr>
            <sz val="8"/>
            <color rgb="FF000000"/>
            <rFont val="Tahoma"/>
            <family val="2"/>
          </rPr>
          <t xml:space="preserve">Severe Warning  AA009:  Substantial Metric difference from prior year &gt;=100% </t>
        </r>
      </text>
    </comment>
    <comment ref="AD408" authorId="1" shapeId="0" xr:uid="{0ACEE28A-B986-4601-B09B-F0471ABEB7F5}">
      <text>
        <r>
          <rPr>
            <sz val="8"/>
            <color rgb="FF000000"/>
            <rFont val="Tahoma"/>
            <family val="2"/>
          </rPr>
          <t xml:space="preserve">Severe Warning  AA009:  Substantial Metric difference from prior year &gt;=100% </t>
        </r>
      </text>
    </comment>
    <comment ref="AE408" authorId="1" shapeId="0" xr:uid="{90066F3C-0148-4AFD-9632-B5A0D4114366}">
      <text>
        <r>
          <rPr>
            <sz val="8"/>
            <color rgb="FF000000"/>
            <rFont val="Tahoma"/>
            <family val="2"/>
          </rPr>
          <t xml:space="preserve">Severe Warning  AA009:  Substantial Metric difference from prior year &gt;=100% </t>
        </r>
      </text>
    </comment>
    <comment ref="I409" authorId="1" shapeId="0" xr:uid="{C353DF6B-4E36-40BD-A4B8-8FB5777D0599}">
      <text>
        <r>
          <rPr>
            <sz val="8"/>
            <color rgb="FF000000"/>
            <rFont val="Tahoma"/>
            <family val="2"/>
          </rPr>
          <t xml:space="preserve">Severe Warning  AA009:  Substantial Metric difference from prior year &gt;=100% </t>
        </r>
      </text>
    </comment>
    <comment ref="K409" authorId="1" shapeId="0" xr:uid="{E5AA5B59-4B1B-441D-8F92-FC4251E6B1F2}">
      <text>
        <r>
          <rPr>
            <sz val="8"/>
            <color rgb="FF000000"/>
            <rFont val="Tahoma"/>
            <family val="2"/>
          </rPr>
          <t xml:space="preserve">Severe Warning  AA009:  Substantial Metric difference from prior year &gt;=100% </t>
        </r>
      </text>
    </comment>
    <comment ref="O409" authorId="1" shapeId="0" xr:uid="{3C062D3E-5703-4E3B-8834-101AE3A74456}">
      <text>
        <r>
          <rPr>
            <sz val="8"/>
            <color rgb="FF000000"/>
            <rFont val="Tahoma"/>
            <family val="2"/>
          </rPr>
          <t xml:space="preserve">Severe Warning  AA009:  Substantial Metric difference from prior year &gt;=100% </t>
        </r>
      </text>
    </comment>
    <comment ref="P409" authorId="1" shapeId="0" xr:uid="{2F3B8037-C47C-4736-A713-0C5196FB3A04}">
      <text>
        <r>
          <rPr>
            <sz val="8"/>
            <color rgb="FF000000"/>
            <rFont val="Tahoma"/>
            <family val="2"/>
          </rPr>
          <t xml:space="preserve">Severe Warning  AA009:  Substantial Metric difference from prior year &gt;=100% </t>
        </r>
      </text>
    </comment>
    <comment ref="W409" authorId="1" shapeId="0" xr:uid="{72B05C51-F3B5-48A9-B933-3129167914AF}">
      <text>
        <r>
          <rPr>
            <sz val="8"/>
            <color rgb="FF000000"/>
            <rFont val="Tahoma"/>
            <family val="2"/>
          </rPr>
          <t xml:space="preserve">Severe Warning  AA009:  Substantial Metric difference from prior year &gt;=100% </t>
        </r>
      </text>
    </comment>
    <comment ref="Y409" authorId="1" shapeId="0" xr:uid="{9055882D-0975-443A-A098-CB2686733C12}">
      <text>
        <r>
          <rPr>
            <sz val="8"/>
            <color rgb="FF000000"/>
            <rFont val="Tahoma"/>
            <family val="2"/>
          </rPr>
          <t xml:space="preserve">Severe Warning  AA009:  Substantial Metric difference from prior year &gt;=100% </t>
        </r>
      </text>
    </comment>
    <comment ref="AC409" authorId="1" shapeId="0" xr:uid="{8C107CB7-79D2-4FE0-8C2A-3E728DF0FDFB}">
      <text>
        <r>
          <rPr>
            <sz val="8"/>
            <color rgb="FF000000"/>
            <rFont val="Tahoma"/>
            <family val="2"/>
          </rPr>
          <t xml:space="preserve">Severe Warning  AA009:  Substantial Metric difference from prior year &gt;=100% </t>
        </r>
      </text>
    </comment>
    <comment ref="I410" authorId="1" shapeId="0" xr:uid="{3A901227-5071-43C6-9D58-CEC52A7B1EC2}">
      <text>
        <r>
          <rPr>
            <sz val="8"/>
            <color rgb="FF000000"/>
            <rFont val="Tahoma"/>
            <family val="2"/>
          </rPr>
          <t xml:space="preserve">Severe Warning  AA009:  Substantial Metric difference from prior year &gt;=100% </t>
        </r>
      </text>
    </comment>
    <comment ref="K410" authorId="1" shapeId="0" xr:uid="{E69E7C75-397D-4DD0-BD8E-A59FB5723192}">
      <text>
        <r>
          <rPr>
            <sz val="8"/>
            <color rgb="FF000000"/>
            <rFont val="Tahoma"/>
            <family val="2"/>
          </rPr>
          <t xml:space="preserve">Severe Warning  AA009:  Substantial Metric difference from prior year &gt;=100% </t>
        </r>
      </text>
    </comment>
    <comment ref="O410" authorId="1" shapeId="0" xr:uid="{D3311F49-E3F5-441B-8DF2-8A87AA20B9AA}">
      <text>
        <r>
          <rPr>
            <sz val="8"/>
            <color rgb="FF000000"/>
            <rFont val="Tahoma"/>
            <family val="2"/>
          </rPr>
          <t xml:space="preserve">Severe Warning  AA009:  Substantial Metric difference from prior year &gt;=100% </t>
        </r>
      </text>
    </comment>
    <comment ref="P410" authorId="1" shapeId="0" xr:uid="{C598817C-4B76-485F-902D-DF508C21C04E}">
      <text>
        <r>
          <rPr>
            <sz val="8"/>
            <color rgb="FF000000"/>
            <rFont val="Tahoma"/>
            <family val="2"/>
          </rPr>
          <t xml:space="preserve">Severe Warning  AA009:  Substantial Metric difference from prior year &gt;=100% </t>
        </r>
      </text>
    </comment>
    <comment ref="W410" authorId="1" shapeId="0" xr:uid="{0A9686F4-9A2C-4FD6-987C-6DB97B7B7A1B}">
      <text>
        <r>
          <rPr>
            <sz val="8"/>
            <color rgb="FF000000"/>
            <rFont val="Tahoma"/>
            <family val="2"/>
          </rPr>
          <t xml:space="preserve">Severe Warning  AA009:  Substantial Metric difference from prior year &gt;=100% </t>
        </r>
      </text>
    </comment>
    <comment ref="Y410" authorId="1" shapeId="0" xr:uid="{39E38D01-3ED9-4FBC-92F7-2CCD1875779A}">
      <text>
        <r>
          <rPr>
            <sz val="8"/>
            <color rgb="FF000000"/>
            <rFont val="Tahoma"/>
            <family val="2"/>
          </rPr>
          <t xml:space="preserve">Severe Warning  AA009:  Substantial Metric difference from prior year &gt;=100% </t>
        </r>
      </text>
    </comment>
    <comment ref="AC410" authorId="1" shapeId="0" xr:uid="{743F0349-45C6-41C8-BBA1-FDCEF34AB111}">
      <text>
        <r>
          <rPr>
            <sz val="8"/>
            <color rgb="FF000000"/>
            <rFont val="Tahoma"/>
            <family val="2"/>
          </rPr>
          <t xml:space="preserve">Severe Warning  AA009:  Substantial Metric difference from prior year &gt;=100% </t>
        </r>
      </text>
    </comment>
    <comment ref="AD410" authorId="1" shapeId="0" xr:uid="{B4F98051-F2B5-45BC-A042-FF16635566C7}">
      <text>
        <r>
          <rPr>
            <sz val="8"/>
            <color rgb="FF000000"/>
            <rFont val="Tahoma"/>
            <family val="2"/>
          </rPr>
          <t xml:space="preserve">Severe Warning  AA009:  Substantial Metric difference from prior year &gt;=100% </t>
        </r>
      </text>
    </comment>
    <comment ref="I411" authorId="1" shapeId="0" xr:uid="{37C9A493-E8E4-4B68-BB56-A7744FDEC589}">
      <text>
        <r>
          <rPr>
            <sz val="8"/>
            <color rgb="FF000000"/>
            <rFont val="Tahoma"/>
            <family val="2"/>
          </rPr>
          <t xml:space="preserve">Severe Warning  AA009:  Substantial Metric difference from prior year &gt;=100% </t>
        </r>
      </text>
    </comment>
    <comment ref="K411" authorId="1" shapeId="0" xr:uid="{F4225609-467F-484C-BFB9-E4F569142B32}">
      <text>
        <r>
          <rPr>
            <sz val="8"/>
            <color rgb="FF000000"/>
            <rFont val="Tahoma"/>
            <family val="2"/>
          </rPr>
          <t xml:space="preserve">Severe Warning  AA009:  Substantial Metric difference from prior year &gt;=100% </t>
        </r>
      </text>
    </comment>
    <comment ref="O411" authorId="1" shapeId="0" xr:uid="{830E62E3-C873-4632-ACBC-FB06A03DAC83}">
      <text>
        <r>
          <rPr>
            <sz val="8"/>
            <color rgb="FF000000"/>
            <rFont val="Tahoma"/>
            <family val="2"/>
          </rPr>
          <t xml:space="preserve">Severe Warning  AA009:  Substantial Metric difference from prior year &gt;=100% </t>
        </r>
      </text>
    </comment>
    <comment ref="P411" authorId="1" shapeId="0" xr:uid="{E57C4393-95B6-49C1-856B-B4C6D2B0580B}">
      <text>
        <r>
          <rPr>
            <sz val="8"/>
            <color rgb="FF000000"/>
            <rFont val="Tahoma"/>
            <family val="2"/>
          </rPr>
          <t xml:space="preserve">Severe Warning  AA009:  Substantial Metric difference from prior year &gt;=100% </t>
        </r>
      </text>
    </comment>
    <comment ref="Q411" authorId="1" shapeId="0" xr:uid="{8D95958C-C2C2-4EE0-9A44-E162E2B225BA}">
      <text>
        <r>
          <rPr>
            <sz val="8"/>
            <color rgb="FF000000"/>
            <rFont val="Tahoma"/>
            <family val="2"/>
          </rPr>
          <t xml:space="preserve">Severe Warning  AA009:  Substantial Metric difference from prior year &gt;=100% </t>
        </r>
      </text>
    </comment>
    <comment ref="W411" authorId="1" shapeId="0" xr:uid="{5061AE44-09C3-4EC5-931D-EB980D000638}">
      <text>
        <r>
          <rPr>
            <sz val="8"/>
            <color rgb="FF000000"/>
            <rFont val="Tahoma"/>
            <family val="2"/>
          </rPr>
          <t xml:space="preserve">Severe Warning  AA009:  Substantial Metric difference from prior year &gt;=100% </t>
        </r>
      </text>
    </comment>
    <comment ref="Y411" authorId="1" shapeId="0" xr:uid="{FB212971-FFA7-415D-9720-5352C069AE95}">
      <text>
        <r>
          <rPr>
            <sz val="8"/>
            <color rgb="FF000000"/>
            <rFont val="Tahoma"/>
            <family val="2"/>
          </rPr>
          <t xml:space="preserve">Severe Warning  AA009:  Substantial Metric difference from prior year &gt;=100% </t>
        </r>
      </text>
    </comment>
    <comment ref="AC411" authorId="1" shapeId="0" xr:uid="{AC607B00-945E-403A-9E94-1250BD46AB2A}">
      <text>
        <r>
          <rPr>
            <sz val="8"/>
            <color rgb="FF000000"/>
            <rFont val="Tahoma"/>
            <family val="2"/>
          </rPr>
          <t xml:space="preserve">Severe Warning  AA009:  Substantial Metric difference from prior year &gt;=100% </t>
        </r>
      </text>
    </comment>
    <comment ref="AD411" authorId="1" shapeId="0" xr:uid="{D216B2F8-C5C8-4C80-AC19-849700107B32}">
      <text>
        <r>
          <rPr>
            <sz val="8"/>
            <color rgb="FF000000"/>
            <rFont val="Tahoma"/>
            <family val="2"/>
          </rPr>
          <t xml:space="preserve">Severe Warning  AA009:  Substantial Metric difference from prior year &gt;=100% </t>
        </r>
      </text>
    </comment>
    <comment ref="AE411" authorId="1" shapeId="0" xr:uid="{CE6312C8-9DD8-49C6-927D-830FD45FA8E7}">
      <text>
        <r>
          <rPr>
            <sz val="8"/>
            <color rgb="FF000000"/>
            <rFont val="Tahoma"/>
            <family val="2"/>
          </rPr>
          <t xml:space="preserve">Severe Warning  AA009:  Substantial Metric difference from prior year &gt;=100% </t>
        </r>
      </text>
    </comment>
    <comment ref="I412" authorId="1" shapeId="0" xr:uid="{36DD2500-2F6A-4DC8-9058-B3DB33122B9C}">
      <text>
        <r>
          <rPr>
            <sz val="8"/>
            <color rgb="FF000000"/>
            <rFont val="Tahoma"/>
            <family val="2"/>
          </rPr>
          <t xml:space="preserve">Severe Warning  AA009:  Substantial Metric difference from prior year &gt;=100% </t>
        </r>
      </text>
    </comment>
    <comment ref="K412" authorId="1" shapeId="0" xr:uid="{33445EFB-FA33-4753-AA20-91DCE2ADD146}">
      <text>
        <r>
          <rPr>
            <sz val="8"/>
            <color rgb="FF000000"/>
            <rFont val="Tahoma"/>
            <family val="2"/>
          </rPr>
          <t xml:space="preserve">Severe Warning  AA009:  Substantial Metric difference from prior year &gt;=100% </t>
        </r>
      </text>
    </comment>
    <comment ref="O412" authorId="1" shapeId="0" xr:uid="{4514D34A-9246-4089-A2E8-572C779C3224}">
      <text>
        <r>
          <rPr>
            <sz val="8"/>
            <color rgb="FF000000"/>
            <rFont val="Tahoma"/>
            <family val="2"/>
          </rPr>
          <t xml:space="preserve">Severe Warning  AA009:  Substantial Metric difference from prior year &gt;=100% </t>
        </r>
      </text>
    </comment>
    <comment ref="P412" authorId="1" shapeId="0" xr:uid="{3374F637-7678-46F1-9082-A2A1C4696972}">
      <text>
        <r>
          <rPr>
            <sz val="8"/>
            <color rgb="FF000000"/>
            <rFont val="Tahoma"/>
            <family val="2"/>
          </rPr>
          <t xml:space="preserve">Severe Warning  AA009:  Substantial Metric difference from prior year &gt;=100% </t>
        </r>
      </text>
    </comment>
    <comment ref="W412" authorId="1" shapeId="0" xr:uid="{C6222E08-060E-42AB-B31A-E73D0951E5E1}">
      <text>
        <r>
          <rPr>
            <sz val="8"/>
            <color rgb="FF000000"/>
            <rFont val="Tahoma"/>
            <family val="2"/>
          </rPr>
          <t xml:space="preserve">Severe Warning  AA009:  Substantial Metric difference from prior year &gt;=100% </t>
        </r>
      </text>
    </comment>
    <comment ref="Y412" authorId="1" shapeId="0" xr:uid="{24FDBDF0-7613-4F67-A3EC-F28961F92AC7}">
      <text>
        <r>
          <rPr>
            <sz val="8"/>
            <color rgb="FF000000"/>
            <rFont val="Tahoma"/>
            <family val="2"/>
          </rPr>
          <t xml:space="preserve">Severe Warning  AA009:  Substantial Metric difference from prior year &gt;=100% </t>
        </r>
      </text>
    </comment>
    <comment ref="AC412" authorId="1" shapeId="0" xr:uid="{9C0EEEBA-6129-4057-847B-3B2C4FABD92A}">
      <text>
        <r>
          <rPr>
            <sz val="8"/>
            <color rgb="FF000000"/>
            <rFont val="Tahoma"/>
            <family val="2"/>
          </rPr>
          <t xml:space="preserve">Severe Warning  AA009:  Substantial Metric difference from prior year &gt;=100% </t>
        </r>
      </text>
    </comment>
    <comment ref="AD412" authorId="1" shapeId="0" xr:uid="{70A18DB2-B672-4C35-9DCE-5FEAE57BE23F}">
      <text>
        <r>
          <rPr>
            <sz val="8"/>
            <color rgb="FF000000"/>
            <rFont val="Tahoma"/>
            <family val="2"/>
          </rPr>
          <t xml:space="preserve">Severe Warning  AA009:  Substantial Metric difference from prior year &gt;=100% </t>
        </r>
      </text>
    </comment>
    <comment ref="AE412" authorId="1" shapeId="0" xr:uid="{63DFCBAF-4452-4E40-B670-55CC238E3C0C}">
      <text>
        <r>
          <rPr>
            <sz val="8"/>
            <color rgb="FF000000"/>
            <rFont val="Tahoma"/>
            <family val="2"/>
          </rPr>
          <t xml:space="preserve">Severe Warning  AA009:  Substantial Metric difference from prior year &gt;=100% </t>
        </r>
      </text>
    </comment>
    <comment ref="I413" authorId="1" shapeId="0" xr:uid="{BD41E59F-15C0-46FB-9BE4-10C01D0B1C00}">
      <text>
        <r>
          <rPr>
            <sz val="8"/>
            <color rgb="FF000000"/>
            <rFont val="Tahoma"/>
            <family val="2"/>
          </rPr>
          <t xml:space="preserve">Severe Warning  AA009:  Substantial Metric difference from prior year &gt;=100% </t>
        </r>
      </text>
    </comment>
    <comment ref="K413" authorId="1" shapeId="0" xr:uid="{CF0DF481-F9A3-489C-A94F-BEC1F710CAD4}">
      <text>
        <r>
          <rPr>
            <sz val="8"/>
            <color rgb="FF000000"/>
            <rFont val="Tahoma"/>
            <family val="2"/>
          </rPr>
          <t xml:space="preserve">Severe Warning  AA009:  Substantial Metric difference from prior year &gt;=100% </t>
        </r>
      </text>
    </comment>
    <comment ref="O413" authorId="1" shapeId="0" xr:uid="{C8F6CD44-D720-4008-B45E-85F6481D1345}">
      <text>
        <r>
          <rPr>
            <sz val="8"/>
            <color rgb="FF000000"/>
            <rFont val="Tahoma"/>
            <family val="2"/>
          </rPr>
          <t xml:space="preserve">Severe Warning  AA009:  Substantial Metric difference from prior year &gt;=100% </t>
        </r>
      </text>
    </comment>
    <comment ref="P413" authorId="1" shapeId="0" xr:uid="{F13E0C6A-F143-4B28-A185-BCB6F05C6805}">
      <text>
        <r>
          <rPr>
            <sz val="8"/>
            <color rgb="FF000000"/>
            <rFont val="Tahoma"/>
            <family val="2"/>
          </rPr>
          <t xml:space="preserve">Severe Warning  AA009:  Substantial Metric difference from prior year &gt;=100% </t>
        </r>
      </text>
    </comment>
    <comment ref="Q413" authorId="1" shapeId="0" xr:uid="{434EFD80-4A78-4273-8003-013DFCF2F67F}">
      <text>
        <r>
          <rPr>
            <sz val="8"/>
            <color rgb="FF000000"/>
            <rFont val="Tahoma"/>
            <family val="2"/>
          </rPr>
          <t xml:space="preserve">Severe Warning  AA009:  Substantial Metric difference from prior year &gt;=100% </t>
        </r>
      </text>
    </comment>
    <comment ref="W413" authorId="1" shapeId="0" xr:uid="{C510B3EA-5AC0-4603-82EC-0E7BDA1747DE}">
      <text>
        <r>
          <rPr>
            <sz val="8"/>
            <color rgb="FF000000"/>
            <rFont val="Tahoma"/>
            <family val="2"/>
          </rPr>
          <t xml:space="preserve">Severe Warning  AA009:  Substantial Metric difference from prior year &gt;=100% </t>
        </r>
      </text>
    </comment>
    <comment ref="Y413" authorId="1" shapeId="0" xr:uid="{30115BC5-6173-4A9D-BE4F-44E4CEF01283}">
      <text>
        <r>
          <rPr>
            <sz val="8"/>
            <color rgb="FF000000"/>
            <rFont val="Tahoma"/>
            <family val="2"/>
          </rPr>
          <t xml:space="preserve">Severe Warning  AA009:  Substantial Metric difference from prior year &gt;=100% </t>
        </r>
      </text>
    </comment>
    <comment ref="AC413" authorId="1" shapeId="0" xr:uid="{36A96527-7BFA-4037-8FEF-A87EC65AFB30}">
      <text>
        <r>
          <rPr>
            <sz val="8"/>
            <color rgb="FF000000"/>
            <rFont val="Tahoma"/>
            <family val="2"/>
          </rPr>
          <t xml:space="preserve">Severe Warning  AA009:  Substantial Metric difference from prior year &gt;=100% </t>
        </r>
      </text>
    </comment>
    <comment ref="AD413" authorId="1" shapeId="0" xr:uid="{F1902C4A-1F70-4563-89EB-A2436400A772}">
      <text>
        <r>
          <rPr>
            <sz val="8"/>
            <color rgb="FF000000"/>
            <rFont val="Tahoma"/>
            <family val="2"/>
          </rPr>
          <t xml:space="preserve">Severe Warning  AA009:  Substantial Metric difference from prior year &gt;=100% </t>
        </r>
      </text>
    </comment>
    <comment ref="AE413" authorId="1" shapeId="0" xr:uid="{15DD442D-2D00-4FE2-A8E5-2BF0235A8D33}">
      <text>
        <r>
          <rPr>
            <sz val="8"/>
            <color rgb="FF000000"/>
            <rFont val="Tahoma"/>
            <family val="2"/>
          </rPr>
          <t xml:space="preserve">Severe Warning  AA009:  Substantial Metric difference from prior year &gt;=100% </t>
        </r>
      </text>
    </comment>
    <comment ref="I414" authorId="1" shapeId="0" xr:uid="{B181E50D-5AD7-4EAD-8B6B-4DB592FFD169}">
      <text>
        <r>
          <rPr>
            <sz val="8"/>
            <color rgb="FF000000"/>
            <rFont val="Tahoma"/>
            <family val="2"/>
          </rPr>
          <t xml:space="preserve">Severe Warning  AA009:  Substantial Metric difference from prior year &gt;=100% </t>
        </r>
      </text>
    </comment>
    <comment ref="K414" authorId="1" shapeId="0" xr:uid="{1FB0F225-23F5-473B-8552-493FB22F6DF5}">
      <text>
        <r>
          <rPr>
            <sz val="8"/>
            <color rgb="FF000000"/>
            <rFont val="Tahoma"/>
            <family val="2"/>
          </rPr>
          <t xml:space="preserve">Severe Warning  AA009:  Substantial Metric difference from prior year &gt;=100% </t>
        </r>
      </text>
    </comment>
    <comment ref="O414" authorId="1" shapeId="0" xr:uid="{CF5A35B2-9CF4-47F5-BB86-BCF3183CD1DD}">
      <text>
        <r>
          <rPr>
            <sz val="8"/>
            <color rgb="FF000000"/>
            <rFont val="Tahoma"/>
            <family val="2"/>
          </rPr>
          <t xml:space="preserve">Severe Warning  AA009:  Substantial Metric difference from prior year &gt;=100% </t>
        </r>
      </text>
    </comment>
    <comment ref="W414" authorId="1" shapeId="0" xr:uid="{EABF55A6-0E28-439F-A557-47BD05090CEA}">
      <text>
        <r>
          <rPr>
            <sz val="8"/>
            <color rgb="FF000000"/>
            <rFont val="Tahoma"/>
            <family val="2"/>
          </rPr>
          <t xml:space="preserve">Severe Warning  AA009:  Substantial Metric difference from prior year &gt;=100% </t>
        </r>
      </text>
    </comment>
    <comment ref="Y414" authorId="1" shapeId="0" xr:uid="{AD28EEF1-A493-42FE-B53D-3CEC9FD67F0A}">
      <text>
        <r>
          <rPr>
            <sz val="8"/>
            <color rgb="FF000000"/>
            <rFont val="Tahoma"/>
            <family val="2"/>
          </rPr>
          <t xml:space="preserve">Severe Warning  AA009:  Substantial Metric difference from prior year &gt;=100% </t>
        </r>
      </text>
    </comment>
    <comment ref="AC414" authorId="1" shapeId="0" xr:uid="{9E2172B3-EBEC-4626-8A23-EEDDF785A126}">
      <text>
        <r>
          <rPr>
            <sz val="8"/>
            <color rgb="FF000000"/>
            <rFont val="Tahoma"/>
            <family val="2"/>
          </rPr>
          <t xml:space="preserve">Severe Warning  AA009:  Substantial Metric difference from prior year &gt;=100% </t>
        </r>
      </text>
    </comment>
    <comment ref="I415" authorId="1" shapeId="0" xr:uid="{AD14BC6F-4B21-426B-919C-4BA7AEE1D579}">
      <text>
        <r>
          <rPr>
            <sz val="8"/>
            <color rgb="FF000000"/>
            <rFont val="Tahoma"/>
            <family val="2"/>
          </rPr>
          <t xml:space="preserve">Severe Warning  AA009:  Substantial Metric difference from prior year &gt;=100% </t>
        </r>
      </text>
    </comment>
    <comment ref="K415" authorId="1" shapeId="0" xr:uid="{73E333A7-2623-4D2C-847E-B0B9544AA300}">
      <text>
        <r>
          <rPr>
            <sz val="8"/>
            <color rgb="FF000000"/>
            <rFont val="Tahoma"/>
            <family val="2"/>
          </rPr>
          <t xml:space="preserve">Severe Warning  AA009:  Substantial Metric difference from prior year &gt;=100% </t>
        </r>
      </text>
    </comment>
    <comment ref="O415" authorId="1" shapeId="0" xr:uid="{0B4AF0F9-E1F0-4D88-9369-35F84974DF52}">
      <text>
        <r>
          <rPr>
            <sz val="8"/>
            <color rgb="FF000000"/>
            <rFont val="Tahoma"/>
            <family val="2"/>
          </rPr>
          <t xml:space="preserve">Severe Warning  AA009:  Substantial Metric difference from prior year &gt;=100% </t>
        </r>
      </text>
    </comment>
    <comment ref="P415" authorId="1" shapeId="0" xr:uid="{2940441B-2B23-43A4-83C8-F9367C523A0B}">
      <text>
        <r>
          <rPr>
            <sz val="8"/>
            <color rgb="FF000000"/>
            <rFont val="Tahoma"/>
            <family val="2"/>
          </rPr>
          <t xml:space="preserve">Severe Warning  AA009:  Substantial Metric difference from prior year &gt;=100% </t>
        </r>
      </text>
    </comment>
    <comment ref="Q415" authorId="1" shapeId="0" xr:uid="{00D29B94-35BE-4812-ADA0-B5ECA0089054}">
      <text>
        <r>
          <rPr>
            <sz val="8"/>
            <color rgb="FF000000"/>
            <rFont val="Tahoma"/>
            <family val="2"/>
          </rPr>
          <t xml:space="preserve">Severe Warning  AA009:  Substantial Metric difference from prior year &gt;=100% </t>
        </r>
      </text>
    </comment>
    <comment ref="W415" authorId="1" shapeId="0" xr:uid="{AF23186F-7E5C-4F00-8606-13BFE7A97A3B}">
      <text>
        <r>
          <rPr>
            <sz val="8"/>
            <color rgb="FF000000"/>
            <rFont val="Tahoma"/>
            <family val="2"/>
          </rPr>
          <t xml:space="preserve">Severe Warning  AA009:  Substantial Metric difference from prior year &gt;=100% </t>
        </r>
      </text>
    </comment>
    <comment ref="Y415" authorId="1" shapeId="0" xr:uid="{154677B8-C6E1-4842-B51A-3642432602A8}">
      <text>
        <r>
          <rPr>
            <sz val="8"/>
            <color rgb="FF000000"/>
            <rFont val="Tahoma"/>
            <family val="2"/>
          </rPr>
          <t xml:space="preserve">Severe Warning  AA009:  Substantial Metric difference from prior year &gt;=100% </t>
        </r>
      </text>
    </comment>
    <comment ref="AC415" authorId="1" shapeId="0" xr:uid="{22A52865-226D-45A5-BE4E-5082B0DB0ED3}">
      <text>
        <r>
          <rPr>
            <sz val="8"/>
            <color rgb="FF000000"/>
            <rFont val="Tahoma"/>
            <family val="2"/>
          </rPr>
          <t xml:space="preserve">Severe Warning  AA009:  Substantial Metric difference from prior year &gt;=100% </t>
        </r>
      </text>
    </comment>
    <comment ref="I416" authorId="1" shapeId="0" xr:uid="{491088D4-C87B-48EB-B438-D89EFC3EA1B7}">
      <text>
        <r>
          <rPr>
            <sz val="8"/>
            <color rgb="FF000000"/>
            <rFont val="Tahoma"/>
            <family val="2"/>
          </rPr>
          <t xml:space="preserve">Severe Warning  AA009:  Substantial Metric difference from prior year &gt;=100% </t>
        </r>
      </text>
    </comment>
    <comment ref="K416" authorId="1" shapeId="0" xr:uid="{8FBA7090-30DE-4132-8DB3-1F075C75E232}">
      <text>
        <r>
          <rPr>
            <sz val="8"/>
            <color rgb="FF000000"/>
            <rFont val="Tahoma"/>
            <family val="2"/>
          </rPr>
          <t xml:space="preserve">Severe Warning  AA009:  Substantial Metric difference from prior year &gt;=100% </t>
        </r>
      </text>
    </comment>
    <comment ref="O416" authorId="1" shapeId="0" xr:uid="{CA80F67F-FBA7-4A2F-A741-5486A782ECCD}">
      <text>
        <r>
          <rPr>
            <sz val="8"/>
            <color rgb="FF000000"/>
            <rFont val="Tahoma"/>
            <family val="2"/>
          </rPr>
          <t xml:space="preserve">Severe Warning  AA009:  Substantial Metric difference from prior year &gt;=100% </t>
        </r>
      </text>
    </comment>
    <comment ref="P416" authorId="1" shapeId="0" xr:uid="{365D034E-3615-4764-8F5A-DDBEAD4E3910}">
      <text>
        <r>
          <rPr>
            <sz val="8"/>
            <color rgb="FF000000"/>
            <rFont val="Tahoma"/>
            <family val="2"/>
          </rPr>
          <t xml:space="preserve">Severe Warning  AA009:  Substantial Metric difference from prior year &gt;=100% </t>
        </r>
      </text>
    </comment>
    <comment ref="Q416" authorId="1" shapeId="0" xr:uid="{B82F11A3-018D-4512-A195-1BF81BF74923}">
      <text>
        <r>
          <rPr>
            <sz val="8"/>
            <color rgb="FF000000"/>
            <rFont val="Tahoma"/>
            <family val="2"/>
          </rPr>
          <t xml:space="preserve">Severe Warning  AA009:  Substantial Metric difference from prior year &gt;=100% </t>
        </r>
      </text>
    </comment>
    <comment ref="W416" authorId="1" shapeId="0" xr:uid="{9314780A-2DD7-49AC-935E-4B03B760D96E}">
      <text>
        <r>
          <rPr>
            <sz val="8"/>
            <color rgb="FF000000"/>
            <rFont val="Tahoma"/>
            <family val="2"/>
          </rPr>
          <t xml:space="preserve">Severe Warning  AA009:  Substantial Metric difference from prior year &gt;=100% </t>
        </r>
      </text>
    </comment>
    <comment ref="Y416" authorId="1" shapeId="0" xr:uid="{7A12BC3C-ECBB-48AF-86A4-A27CB8B1718B}">
      <text>
        <r>
          <rPr>
            <sz val="8"/>
            <color rgb="FF000000"/>
            <rFont val="Tahoma"/>
            <family val="2"/>
          </rPr>
          <t xml:space="preserve">Severe Warning  AA009:  Substantial Metric difference from prior year &gt;=100% </t>
        </r>
      </text>
    </comment>
    <comment ref="AC416" authorId="1" shapeId="0" xr:uid="{B942FD1A-382D-4101-AB84-1996556761FA}">
      <text>
        <r>
          <rPr>
            <sz val="8"/>
            <color rgb="FF000000"/>
            <rFont val="Tahoma"/>
            <family val="2"/>
          </rPr>
          <t xml:space="preserve">Severe Warning  AA009:  Substantial Metric difference from prior year &gt;=100% </t>
        </r>
      </text>
    </comment>
    <comment ref="AD416" authorId="1" shapeId="0" xr:uid="{D2529AB3-EF84-46FB-B117-D73BF0DABD05}">
      <text>
        <r>
          <rPr>
            <sz val="8"/>
            <color rgb="FF000000"/>
            <rFont val="Tahoma"/>
            <family val="2"/>
          </rPr>
          <t xml:space="preserve">Severe Warning  AA009:  Substantial Metric difference from prior year &gt;=100% </t>
        </r>
      </text>
    </comment>
    <comment ref="AE416" authorId="1" shapeId="0" xr:uid="{748F1376-3DD9-4AEA-8DBF-B61B11A9BECD}">
      <text>
        <r>
          <rPr>
            <sz val="8"/>
            <color rgb="FF000000"/>
            <rFont val="Tahoma"/>
            <family val="2"/>
          </rPr>
          <t xml:space="preserve">Severe Warning  AA009:  Substantial Metric difference from prior year &gt;=100% </t>
        </r>
      </text>
    </comment>
    <comment ref="I417" authorId="1" shapeId="0" xr:uid="{E388EDCF-D70F-46E9-B31F-A6064D7797B4}">
      <text>
        <r>
          <rPr>
            <sz val="8"/>
            <color rgb="FF000000"/>
            <rFont val="Tahoma"/>
            <family val="2"/>
          </rPr>
          <t xml:space="preserve">Severe Warning  AA009:  Substantial Metric difference from prior year &gt;=100% </t>
        </r>
      </text>
    </comment>
    <comment ref="K417" authorId="1" shapeId="0" xr:uid="{ACF81008-4C9A-4A4B-A515-4D4946F50A6B}">
      <text>
        <r>
          <rPr>
            <sz val="8"/>
            <color rgb="FF000000"/>
            <rFont val="Tahoma"/>
            <family val="2"/>
          </rPr>
          <t xml:space="preserve">Severe Warning  AA009:  Substantial Metric difference from prior year &gt;=100% </t>
        </r>
      </text>
    </comment>
    <comment ref="O417" authorId="1" shapeId="0" xr:uid="{8E590E0E-4226-4DBF-9120-A3CE27AE4C86}">
      <text>
        <r>
          <rPr>
            <sz val="8"/>
            <color rgb="FF000000"/>
            <rFont val="Tahoma"/>
            <family val="2"/>
          </rPr>
          <t xml:space="preserve">Severe Warning  AA009:  Substantial Metric difference from prior year &gt;=100% </t>
        </r>
      </text>
    </comment>
    <comment ref="W417" authorId="1" shapeId="0" xr:uid="{CB21F71B-D76C-416F-854C-36335ECD9CBF}">
      <text>
        <r>
          <rPr>
            <sz val="8"/>
            <color rgb="FF000000"/>
            <rFont val="Tahoma"/>
            <family val="2"/>
          </rPr>
          <t xml:space="preserve">Severe Warning  AA009:  Substantial Metric difference from prior year &gt;=100% </t>
        </r>
      </text>
    </comment>
    <comment ref="Y417" authorId="1" shapeId="0" xr:uid="{DC665CA0-2E2B-47F2-8485-0F2667ACA9D2}">
      <text>
        <r>
          <rPr>
            <sz val="8"/>
            <color rgb="FF000000"/>
            <rFont val="Tahoma"/>
            <family val="2"/>
          </rPr>
          <t xml:space="preserve">Severe Warning  AA009:  Substantial Metric difference from prior year &gt;=100% </t>
        </r>
      </text>
    </comment>
    <comment ref="AC417" authorId="1" shapeId="0" xr:uid="{31782D4D-C5D3-44BF-A015-21908129F3F7}">
      <text>
        <r>
          <rPr>
            <sz val="8"/>
            <color rgb="FF000000"/>
            <rFont val="Tahoma"/>
            <family val="2"/>
          </rPr>
          <t xml:space="preserve">Severe Warning  AA009:  Substantial Metric difference from prior year &gt;=100% </t>
        </r>
      </text>
    </comment>
    <comment ref="AD417" authorId="1" shapeId="0" xr:uid="{E388260B-EA41-4A8C-A19B-675744C145F4}">
      <text>
        <r>
          <rPr>
            <sz val="8"/>
            <color rgb="FF000000"/>
            <rFont val="Tahoma"/>
            <family val="2"/>
          </rPr>
          <t xml:space="preserve">Severe Warning  AA009:  Substantial Metric difference from prior year &gt;=100% </t>
        </r>
      </text>
    </comment>
    <comment ref="I418" authorId="1" shapeId="0" xr:uid="{C84AFFCD-E508-40A3-9497-5C161D91D83C}">
      <text>
        <r>
          <rPr>
            <sz val="8"/>
            <color rgb="FF000000"/>
            <rFont val="Tahoma"/>
            <family val="2"/>
          </rPr>
          <t xml:space="preserve">Severe Warning  AA009:  Substantial Metric difference from prior year &gt;=100% </t>
        </r>
      </text>
    </comment>
    <comment ref="K418" authorId="1" shapeId="0" xr:uid="{BE028D86-FA0D-4511-BB3B-F498ED69DBB3}">
      <text>
        <r>
          <rPr>
            <sz val="8"/>
            <color rgb="FF000000"/>
            <rFont val="Tahoma"/>
            <family val="2"/>
          </rPr>
          <t xml:space="preserve">Severe Warning  AA009:  Substantial Metric difference from prior year &gt;=100% </t>
        </r>
      </text>
    </comment>
    <comment ref="O418" authorId="1" shapeId="0" xr:uid="{20324B15-FAD7-43F6-9995-F42AA04F7D63}">
      <text>
        <r>
          <rPr>
            <sz val="8"/>
            <color rgb="FF000000"/>
            <rFont val="Tahoma"/>
            <family val="2"/>
          </rPr>
          <t xml:space="preserve">Severe Warning  AA009:  Substantial Metric difference from prior year &gt;=100% </t>
        </r>
      </text>
    </comment>
    <comment ref="W418" authorId="1" shapeId="0" xr:uid="{F8C5D46B-F59F-4AD2-9C37-ADFA95A39D3A}">
      <text>
        <r>
          <rPr>
            <sz val="8"/>
            <color rgb="FF000000"/>
            <rFont val="Tahoma"/>
            <family val="2"/>
          </rPr>
          <t xml:space="preserve">Severe Warning  AA009:  Substantial Metric difference from prior year &gt;=100% </t>
        </r>
      </text>
    </comment>
    <comment ref="Y418" authorId="1" shapeId="0" xr:uid="{D0884C2A-D6BA-4FCD-8B11-3C9F4B8BFA0B}">
      <text>
        <r>
          <rPr>
            <sz val="8"/>
            <color rgb="FF000000"/>
            <rFont val="Tahoma"/>
            <family val="2"/>
          </rPr>
          <t xml:space="preserve">Severe Warning  AA009:  Substantial Metric difference from prior year &gt;=100% </t>
        </r>
      </text>
    </comment>
    <comment ref="AC418" authorId="1" shapeId="0" xr:uid="{B906C205-45EC-44FE-B5AD-BEF83B183127}">
      <text>
        <r>
          <rPr>
            <sz val="8"/>
            <color rgb="FF000000"/>
            <rFont val="Tahoma"/>
            <family val="2"/>
          </rPr>
          <t xml:space="preserve">Severe Warning  AA009:  Substantial Metric difference from prior year &gt;=100% </t>
        </r>
      </text>
    </comment>
    <comment ref="I419" authorId="1" shapeId="0" xr:uid="{C8432A24-74FD-40DD-86CD-ED8CF5E05F39}">
      <text>
        <r>
          <rPr>
            <sz val="8"/>
            <color rgb="FF000000"/>
            <rFont val="Tahoma"/>
            <family val="2"/>
          </rPr>
          <t xml:space="preserve">Severe Warning  AA009:  Substantial Metric difference from prior year &gt;=100% </t>
        </r>
      </text>
    </comment>
    <comment ref="O419" authorId="1" shapeId="0" xr:uid="{5ED53C0A-C6C4-4C80-BCE5-1A261E507BE3}">
      <text>
        <r>
          <rPr>
            <sz val="8"/>
            <color rgb="FF000000"/>
            <rFont val="Tahoma"/>
            <family val="2"/>
          </rPr>
          <t xml:space="preserve">Severe Warning  AA009:  Substantial Metric difference from prior year &gt;=100% </t>
        </r>
      </text>
    </comment>
    <comment ref="W419" authorId="1" shapeId="0" xr:uid="{570A337F-1BEA-4B44-9D93-B8920F1FC59E}">
      <text>
        <r>
          <rPr>
            <sz val="8"/>
            <color rgb="FF000000"/>
            <rFont val="Tahoma"/>
            <family val="2"/>
          </rPr>
          <t xml:space="preserve">Severe Warning  AA009:  Substantial Metric difference from prior year &gt;=100% </t>
        </r>
      </text>
    </comment>
    <comment ref="AC419" authorId="1" shapeId="0" xr:uid="{7B387166-EF25-433B-85A5-9A8D873AECE6}">
      <text>
        <r>
          <rPr>
            <sz val="8"/>
            <color rgb="FF000000"/>
            <rFont val="Tahoma"/>
            <family val="2"/>
          </rPr>
          <t xml:space="preserve">Severe Warning  AA009:  Substantial Metric difference from prior year &gt;=100% </t>
        </r>
      </text>
    </comment>
    <comment ref="I420" authorId="1" shapeId="0" xr:uid="{605F28C0-6806-4F45-82E4-78F2A6554BFD}">
      <text>
        <r>
          <rPr>
            <sz val="8"/>
            <color rgb="FF000000"/>
            <rFont val="Tahoma"/>
            <family val="2"/>
          </rPr>
          <t xml:space="preserve">Severe Warning  AA009:  Substantial Metric difference from prior year &gt;=100% </t>
        </r>
      </text>
    </comment>
    <comment ref="O420" authorId="1" shapeId="0" xr:uid="{40699692-255C-4768-99BE-3D00D1CCEB3B}">
      <text>
        <r>
          <rPr>
            <sz val="8"/>
            <color rgb="FF000000"/>
            <rFont val="Tahoma"/>
            <family val="2"/>
          </rPr>
          <t xml:space="preserve">Severe Warning  AA009:  Substantial Metric difference from prior year &gt;=100% </t>
        </r>
      </text>
    </comment>
    <comment ref="W420" authorId="1" shapeId="0" xr:uid="{10AE3AE9-7013-4A49-B3FC-98F21DAFB11C}">
      <text>
        <r>
          <rPr>
            <sz val="8"/>
            <color rgb="FF000000"/>
            <rFont val="Tahoma"/>
            <family val="2"/>
          </rPr>
          <t xml:space="preserve">Severe Warning  AA009:  Substantial Metric difference from prior year &gt;=100% </t>
        </r>
      </text>
    </comment>
    <comment ref="Y420" authorId="1" shapeId="0" xr:uid="{124E124B-AF6E-46F4-A9F5-35F92D23490B}">
      <text>
        <r>
          <rPr>
            <sz val="8"/>
            <color rgb="FF000000"/>
            <rFont val="Tahoma"/>
            <family val="2"/>
          </rPr>
          <t xml:space="preserve">Severe Warning  AA009:  Substantial Metric difference from prior year &gt;=100% </t>
        </r>
      </text>
    </comment>
    <comment ref="AC420" authorId="1" shapeId="0" xr:uid="{BC40DFCC-7BC2-400F-A25E-DA8B64C14D4C}">
      <text>
        <r>
          <rPr>
            <sz val="8"/>
            <color rgb="FF000000"/>
            <rFont val="Tahoma"/>
            <family val="2"/>
          </rPr>
          <t xml:space="preserve">Severe Warning  AA009:  Substantial Metric difference from prior year &gt;=100% </t>
        </r>
      </text>
    </comment>
    <comment ref="I421" authorId="1" shapeId="0" xr:uid="{A4A98208-C2E4-4F4A-ACE2-41A77BAA2DD6}">
      <text>
        <r>
          <rPr>
            <sz val="8"/>
            <color rgb="FF000000"/>
            <rFont val="Tahoma"/>
            <family val="2"/>
          </rPr>
          <t xml:space="preserve">Severe Warning  AA009:  Substantial Metric difference from prior year &gt;=100% </t>
        </r>
      </text>
    </comment>
    <comment ref="K421" authorId="1" shapeId="0" xr:uid="{586CAD94-2764-42FC-91CE-DD7EB27FB1C7}">
      <text>
        <r>
          <rPr>
            <sz val="8"/>
            <color rgb="FF000000"/>
            <rFont val="Tahoma"/>
            <family val="2"/>
          </rPr>
          <t xml:space="preserve">Severe Warning  AA009:  Substantial Metric difference from prior year &gt;=100% </t>
        </r>
      </text>
    </comment>
    <comment ref="O421" authorId="1" shapeId="0" xr:uid="{028454F0-400A-4727-A448-0A36E0E50A4E}">
      <text>
        <r>
          <rPr>
            <sz val="8"/>
            <color rgb="FF000000"/>
            <rFont val="Tahoma"/>
            <family val="2"/>
          </rPr>
          <t xml:space="preserve">Severe Warning  AA009:  Substantial Metric difference from prior year &gt;=100% </t>
        </r>
      </text>
    </comment>
    <comment ref="P421" authorId="1" shapeId="0" xr:uid="{1DA2A8EF-70BF-45A5-9C47-0959F520D7B0}">
      <text>
        <r>
          <rPr>
            <sz val="8"/>
            <color rgb="FF000000"/>
            <rFont val="Tahoma"/>
            <family val="2"/>
          </rPr>
          <t xml:space="preserve">Severe Warning  AA009:  Substantial Metric difference from prior year &gt;=100% </t>
        </r>
      </text>
    </comment>
    <comment ref="W421" authorId="1" shapeId="0" xr:uid="{5A1E9536-343F-448E-A7A5-AC663E8F4183}">
      <text>
        <r>
          <rPr>
            <sz val="8"/>
            <color rgb="FF000000"/>
            <rFont val="Tahoma"/>
            <family val="2"/>
          </rPr>
          <t xml:space="preserve">Severe Warning  AA009:  Substantial Metric difference from prior year &gt;=100% </t>
        </r>
      </text>
    </comment>
    <comment ref="AC421" authorId="1" shapeId="0" xr:uid="{0CB9D55A-9917-4318-B846-0044375A94EB}">
      <text>
        <r>
          <rPr>
            <sz val="8"/>
            <color rgb="FF000000"/>
            <rFont val="Tahoma"/>
            <family val="2"/>
          </rPr>
          <t xml:space="preserve">Severe Warning  AA009:  Substantial Metric difference from prior year &gt;=100% </t>
        </r>
      </text>
    </comment>
    <comment ref="I422" authorId="1" shapeId="0" xr:uid="{91DDDE21-5570-4327-8D71-2DE7E656B58A}">
      <text>
        <r>
          <rPr>
            <sz val="8"/>
            <color rgb="FF000000"/>
            <rFont val="Tahoma"/>
            <family val="2"/>
          </rPr>
          <t xml:space="preserve">Severe Warning  AA009:  Substantial Metric difference from prior year &gt;=100% </t>
        </r>
      </text>
    </comment>
    <comment ref="K422" authorId="1" shapeId="0" xr:uid="{9068EC42-CB8F-4F54-B52D-477B0072863D}">
      <text>
        <r>
          <rPr>
            <sz val="8"/>
            <color rgb="FF000000"/>
            <rFont val="Tahoma"/>
            <family val="2"/>
          </rPr>
          <t xml:space="preserve">Severe Warning  AA009:  Substantial Metric difference from prior year &gt;=100% </t>
        </r>
      </text>
    </comment>
    <comment ref="O422" authorId="1" shapeId="0" xr:uid="{05DF1B4F-F953-439C-B9DD-D484B29C3CB1}">
      <text>
        <r>
          <rPr>
            <sz val="8"/>
            <color rgb="FF000000"/>
            <rFont val="Tahoma"/>
            <family val="2"/>
          </rPr>
          <t xml:space="preserve">Severe Warning  AA009:  Substantial Metric difference from prior year &gt;=100% </t>
        </r>
      </text>
    </comment>
    <comment ref="W422" authorId="1" shapeId="0" xr:uid="{3DCD1575-1D3B-4EE0-A2DF-88ABD1E43FC0}">
      <text>
        <r>
          <rPr>
            <sz val="8"/>
            <color rgb="FF000000"/>
            <rFont val="Tahoma"/>
            <family val="2"/>
          </rPr>
          <t xml:space="preserve">Severe Warning  AA009:  Substantial Metric difference from prior year &gt;=100% </t>
        </r>
      </text>
    </comment>
    <comment ref="Y422" authorId="1" shapeId="0" xr:uid="{2AE701F0-7EB1-4390-B604-7CF96E61F684}">
      <text>
        <r>
          <rPr>
            <sz val="8"/>
            <color rgb="FF000000"/>
            <rFont val="Tahoma"/>
            <family val="2"/>
          </rPr>
          <t xml:space="preserve">Severe Warning  AA009:  Substantial Metric difference from prior year &gt;=100% </t>
        </r>
      </text>
    </comment>
    <comment ref="AC422" authorId="1" shapeId="0" xr:uid="{BC87AE20-1E3C-485C-BF76-3B27A89E8791}">
      <text>
        <r>
          <rPr>
            <sz val="8"/>
            <color rgb="FF000000"/>
            <rFont val="Tahoma"/>
            <family val="2"/>
          </rPr>
          <t xml:space="preserve">Severe Warning  AA009:  Substantial Metric difference from prior year &gt;=100% </t>
        </r>
      </text>
    </comment>
    <comment ref="I423" authorId="1" shapeId="0" xr:uid="{A6265D1F-15F1-476A-95BA-EFAC4E35C159}">
      <text>
        <r>
          <rPr>
            <sz val="8"/>
            <color rgb="FF000000"/>
            <rFont val="Tahoma"/>
            <family val="2"/>
          </rPr>
          <t xml:space="preserve">Severe Warning  AA009:  Substantial Metric difference from prior year &gt;=100% </t>
        </r>
      </text>
    </comment>
    <comment ref="K423" authorId="1" shapeId="0" xr:uid="{816FF78F-932D-4CAE-823D-8A400A95A5B1}">
      <text>
        <r>
          <rPr>
            <sz val="8"/>
            <color rgb="FF000000"/>
            <rFont val="Tahoma"/>
            <family val="2"/>
          </rPr>
          <t xml:space="preserve">Severe Warning  AA009:  Substantial Metric difference from prior year &gt;=100% </t>
        </r>
      </text>
    </comment>
    <comment ref="O423" authorId="1" shapeId="0" xr:uid="{5A783554-D0E5-41A0-9B4E-B0F19C0CC6D4}">
      <text>
        <r>
          <rPr>
            <sz val="8"/>
            <color rgb="FF000000"/>
            <rFont val="Tahoma"/>
            <family val="2"/>
          </rPr>
          <t xml:space="preserve">Severe Warning  AA009:  Substantial Metric difference from prior year &gt;=100% </t>
        </r>
      </text>
    </comment>
    <comment ref="W423" authorId="1" shapeId="0" xr:uid="{640081FB-3385-4FAE-BD8C-A8489D72B2B4}">
      <text>
        <r>
          <rPr>
            <sz val="8"/>
            <color rgb="FF000000"/>
            <rFont val="Tahoma"/>
            <family val="2"/>
          </rPr>
          <t xml:space="preserve">Severe Warning  AA009:  Substantial Metric difference from prior year &gt;=100% </t>
        </r>
      </text>
    </comment>
    <comment ref="Y423" authorId="1" shapeId="0" xr:uid="{EDF49228-4D48-443F-9546-B76C43552590}">
      <text>
        <r>
          <rPr>
            <sz val="8"/>
            <color rgb="FF000000"/>
            <rFont val="Tahoma"/>
            <family val="2"/>
          </rPr>
          <t xml:space="preserve">Severe Warning  AA009:  Substantial Metric difference from prior year &gt;=100% </t>
        </r>
      </text>
    </comment>
    <comment ref="AC423" authorId="1" shapeId="0" xr:uid="{F809F45D-60AA-484A-8F5A-35159731DC74}">
      <text>
        <r>
          <rPr>
            <sz val="8"/>
            <color rgb="FF000000"/>
            <rFont val="Tahoma"/>
            <family val="2"/>
          </rPr>
          <t xml:space="preserve">Severe Warning  AA009:  Substantial Metric difference from prior year &gt;=100% </t>
        </r>
      </text>
    </comment>
    <comment ref="I424" authorId="1" shapeId="0" xr:uid="{D362147F-3C15-46AF-9BD8-B1D66D50074F}">
      <text>
        <r>
          <rPr>
            <sz val="8"/>
            <color rgb="FF000000"/>
            <rFont val="Tahoma"/>
            <family val="2"/>
          </rPr>
          <t xml:space="preserve">Severe Warning  AA009:  Substantial Metric difference from prior year &gt;=100% </t>
        </r>
      </text>
    </comment>
    <comment ref="K424" authorId="1" shapeId="0" xr:uid="{276A00C8-405C-45CB-8B5C-5B2CDE1956A4}">
      <text>
        <r>
          <rPr>
            <sz val="8"/>
            <color rgb="FF000000"/>
            <rFont val="Tahoma"/>
            <family val="2"/>
          </rPr>
          <t xml:space="preserve">Severe Warning  AA009:  Substantial Metric difference from prior year &gt;=100% </t>
        </r>
      </text>
    </comment>
    <comment ref="O424" authorId="1" shapeId="0" xr:uid="{7EA23CE1-C5DE-4529-91CC-9039C44C117B}">
      <text>
        <r>
          <rPr>
            <sz val="8"/>
            <color rgb="FF000000"/>
            <rFont val="Tahoma"/>
            <family val="2"/>
          </rPr>
          <t xml:space="preserve">Severe Warning  AA009:  Substantial Metric difference from prior year &gt;=100% </t>
        </r>
      </text>
    </comment>
    <comment ref="P424" authorId="1" shapeId="0" xr:uid="{8CCCBBB3-18A8-4328-B275-51781F521AC4}">
      <text>
        <r>
          <rPr>
            <sz val="8"/>
            <color rgb="FF000000"/>
            <rFont val="Tahoma"/>
            <family val="2"/>
          </rPr>
          <t xml:space="preserve">Severe Warning  AA009:  Substantial Metric difference from prior year &gt;=100% </t>
        </r>
      </text>
    </comment>
    <comment ref="Q424" authorId="1" shapeId="0" xr:uid="{1FD8BFA2-A68E-411D-A426-BC36C404F3AC}">
      <text>
        <r>
          <rPr>
            <sz val="8"/>
            <color rgb="FF000000"/>
            <rFont val="Tahoma"/>
            <family val="2"/>
          </rPr>
          <t xml:space="preserve">Severe Warning  AA009:  Substantial Metric difference from prior year &gt;=100% </t>
        </r>
      </text>
    </comment>
    <comment ref="W424" authorId="1" shapeId="0" xr:uid="{4FDC048D-2A07-4DAA-B14D-DA782A35E1F5}">
      <text>
        <r>
          <rPr>
            <sz val="8"/>
            <color rgb="FF000000"/>
            <rFont val="Tahoma"/>
            <family val="2"/>
          </rPr>
          <t xml:space="preserve">Severe Warning  AA009:  Substantial Metric difference from prior year &gt;=100% </t>
        </r>
      </text>
    </comment>
    <comment ref="Y424" authorId="1" shapeId="0" xr:uid="{9284E391-0D96-47AB-8F5D-0FBFCA888341}">
      <text>
        <r>
          <rPr>
            <sz val="8"/>
            <color rgb="FF000000"/>
            <rFont val="Tahoma"/>
            <family val="2"/>
          </rPr>
          <t xml:space="preserve">Severe Warning  AA009:  Substantial Metric difference from prior year &gt;=100% </t>
        </r>
      </text>
    </comment>
    <comment ref="AC424" authorId="1" shapeId="0" xr:uid="{A39B383B-A891-455A-8DCE-D2B2B1B3152E}">
      <text>
        <r>
          <rPr>
            <sz val="8"/>
            <color rgb="FF000000"/>
            <rFont val="Tahoma"/>
            <family val="2"/>
          </rPr>
          <t xml:space="preserve">Severe Warning  AA009:  Substantial Metric difference from prior year &gt;=100% </t>
        </r>
      </text>
    </comment>
    <comment ref="AD424" authorId="1" shapeId="0" xr:uid="{A73BF0A9-5E8B-49D9-9D43-A0A7A05206A1}">
      <text>
        <r>
          <rPr>
            <sz val="8"/>
            <color rgb="FF000000"/>
            <rFont val="Tahoma"/>
            <family val="2"/>
          </rPr>
          <t xml:space="preserve">Severe Warning  AA009:  Substantial Metric difference from prior year &gt;=100% </t>
        </r>
      </text>
    </comment>
    <comment ref="AE424" authorId="1" shapeId="0" xr:uid="{00002675-9562-49EC-857F-994D49680D92}">
      <text>
        <r>
          <rPr>
            <sz val="8"/>
            <color rgb="FF000000"/>
            <rFont val="Tahoma"/>
            <family val="2"/>
          </rPr>
          <t xml:space="preserve">Severe Warning  AA009:  Substantial Metric difference from prior year &gt;=100% </t>
        </r>
      </text>
    </comment>
    <comment ref="I425" authorId="1" shapeId="0" xr:uid="{CEF9208F-9BC8-4AE2-B2AD-32FA481326A4}">
      <text>
        <r>
          <rPr>
            <sz val="8"/>
            <color rgb="FF000000"/>
            <rFont val="Tahoma"/>
            <family val="2"/>
          </rPr>
          <t xml:space="preserve">Severe Warning  AA009:  Substantial Metric difference from prior year &gt;=100% </t>
        </r>
      </text>
    </comment>
    <comment ref="K425" authorId="1" shapeId="0" xr:uid="{0A954817-BD63-47DA-8656-1F14B45A722A}">
      <text>
        <r>
          <rPr>
            <sz val="8"/>
            <color rgb="FF000000"/>
            <rFont val="Tahoma"/>
            <family val="2"/>
          </rPr>
          <t xml:space="preserve">Severe Warning  AA009:  Substantial Metric difference from prior year &gt;=100% </t>
        </r>
      </text>
    </comment>
    <comment ref="O425" authorId="1" shapeId="0" xr:uid="{3128B823-AB7E-49FE-AA66-03CC77E71C0C}">
      <text>
        <r>
          <rPr>
            <sz val="8"/>
            <color rgb="FF000000"/>
            <rFont val="Tahoma"/>
            <family val="2"/>
          </rPr>
          <t xml:space="preserve">Severe Warning  AA009:  Substantial Metric difference from prior year &gt;=100% </t>
        </r>
      </text>
    </comment>
    <comment ref="P425" authorId="1" shapeId="0" xr:uid="{5500C57F-8A65-48F4-B071-B2FDFB46EFD0}">
      <text>
        <r>
          <rPr>
            <sz val="8"/>
            <color rgb="FF000000"/>
            <rFont val="Tahoma"/>
            <family val="2"/>
          </rPr>
          <t xml:space="preserve">Severe Warning  AA009:  Substantial Metric difference from prior year &gt;=100% </t>
        </r>
      </text>
    </comment>
    <comment ref="Q425" authorId="1" shapeId="0" xr:uid="{C1AC89FA-27F0-4359-9E1A-158DB8A9D185}">
      <text>
        <r>
          <rPr>
            <sz val="8"/>
            <color rgb="FF000000"/>
            <rFont val="Tahoma"/>
            <family val="2"/>
          </rPr>
          <t xml:space="preserve">Severe Warning  AA009:  Substantial Metric difference from prior year &gt;=100% </t>
        </r>
      </text>
    </comment>
    <comment ref="W425" authorId="1" shapeId="0" xr:uid="{FFCC052F-7CD1-4065-9478-54B74D8CF2C1}">
      <text>
        <r>
          <rPr>
            <sz val="8"/>
            <color rgb="FF000000"/>
            <rFont val="Tahoma"/>
            <family val="2"/>
          </rPr>
          <t xml:space="preserve">Severe Warning  AA009:  Substantial Metric difference from prior year &gt;=100% </t>
        </r>
      </text>
    </comment>
    <comment ref="Y425" authorId="1" shapeId="0" xr:uid="{9B3E5C94-2A5E-4883-A6D7-3592599535D5}">
      <text>
        <r>
          <rPr>
            <sz val="8"/>
            <color rgb="FF000000"/>
            <rFont val="Tahoma"/>
            <family val="2"/>
          </rPr>
          <t xml:space="preserve">Severe Warning  AA009:  Substantial Metric difference from prior year &gt;=100% </t>
        </r>
      </text>
    </comment>
    <comment ref="AC425" authorId="1" shapeId="0" xr:uid="{EEA56FA1-F127-45C2-8A53-BCCC7A82B5D4}">
      <text>
        <r>
          <rPr>
            <sz val="8"/>
            <color rgb="FF000000"/>
            <rFont val="Tahoma"/>
            <family val="2"/>
          </rPr>
          <t xml:space="preserve">Severe Warning  AA009:  Substantial Metric difference from prior year &gt;=100% </t>
        </r>
      </text>
    </comment>
    <comment ref="AD425" authorId="1" shapeId="0" xr:uid="{DFA2F4CB-0B28-44B5-B137-B38C536380D5}">
      <text>
        <r>
          <rPr>
            <sz val="8"/>
            <color rgb="FF000000"/>
            <rFont val="Tahoma"/>
            <family val="2"/>
          </rPr>
          <t xml:space="preserve">Severe Warning  AA009:  Substantial Metric difference from prior year &gt;=100% </t>
        </r>
      </text>
    </comment>
    <comment ref="AE425" authorId="1" shapeId="0" xr:uid="{592BC4BB-6134-4BB9-9E4C-5346338CC7FE}">
      <text>
        <r>
          <rPr>
            <sz val="8"/>
            <color rgb="FF000000"/>
            <rFont val="Tahoma"/>
            <family val="2"/>
          </rPr>
          <t xml:space="preserve">Severe Warning  AA009:  Substantial Metric difference from prior year &gt;=100% </t>
        </r>
      </text>
    </comment>
    <comment ref="I426" authorId="1" shapeId="0" xr:uid="{B0F38D44-C89E-4CFD-B3C8-38B7751145F7}">
      <text>
        <r>
          <rPr>
            <sz val="8"/>
            <color rgb="FF000000"/>
            <rFont val="Tahoma"/>
            <family val="2"/>
          </rPr>
          <t xml:space="preserve">Severe Warning  AA009:  Substantial Metric difference from prior year &gt;=100% </t>
        </r>
      </text>
    </comment>
    <comment ref="K426" authorId="1" shapeId="0" xr:uid="{BB3594C0-E547-4BF7-BF85-156E03A980F4}">
      <text>
        <r>
          <rPr>
            <sz val="8"/>
            <color rgb="FF000000"/>
            <rFont val="Tahoma"/>
            <family val="2"/>
          </rPr>
          <t xml:space="preserve">Severe Warning  AA009:  Substantial Metric difference from prior year &gt;=100% </t>
        </r>
      </text>
    </comment>
    <comment ref="O426" authorId="1" shapeId="0" xr:uid="{2155821D-2CA2-4FD9-8857-19983F017CBD}">
      <text>
        <r>
          <rPr>
            <sz val="8"/>
            <color rgb="FF000000"/>
            <rFont val="Tahoma"/>
            <family val="2"/>
          </rPr>
          <t xml:space="preserve">Severe Warning  AA009:  Substantial Metric difference from prior year &gt;=100% </t>
        </r>
      </text>
    </comment>
    <comment ref="P426" authorId="1" shapeId="0" xr:uid="{F3473A36-ABFA-49AE-9541-F7C349FCE5D2}">
      <text>
        <r>
          <rPr>
            <sz val="8"/>
            <color rgb="FF000000"/>
            <rFont val="Tahoma"/>
            <family val="2"/>
          </rPr>
          <t xml:space="preserve">Severe Warning  AA009:  Substantial Metric difference from prior year &gt;=100% </t>
        </r>
      </text>
    </comment>
    <comment ref="W426" authorId="1" shapeId="0" xr:uid="{D066BB4E-22C2-4500-ACCF-6F73514AD281}">
      <text>
        <r>
          <rPr>
            <sz val="8"/>
            <color rgb="FF000000"/>
            <rFont val="Tahoma"/>
            <family val="2"/>
          </rPr>
          <t xml:space="preserve">Severe Warning  AA009:  Substantial Metric difference from prior year &gt;=100% </t>
        </r>
      </text>
    </comment>
    <comment ref="Y426" authorId="1" shapeId="0" xr:uid="{FA32BFBD-733B-4A22-8A39-81B77BF22F7E}">
      <text>
        <r>
          <rPr>
            <sz val="8"/>
            <color rgb="FF000000"/>
            <rFont val="Tahoma"/>
            <family val="2"/>
          </rPr>
          <t xml:space="preserve">Severe Warning  AA009:  Substantial Metric difference from prior year &gt;=100% </t>
        </r>
      </text>
    </comment>
    <comment ref="AC426" authorId="1" shapeId="0" xr:uid="{881AC26E-3992-4E49-99EB-404D76087D05}">
      <text>
        <r>
          <rPr>
            <sz val="8"/>
            <color rgb="FF000000"/>
            <rFont val="Tahoma"/>
            <family val="2"/>
          </rPr>
          <t xml:space="preserve">Severe Warning  AA009:  Substantial Metric difference from prior year &gt;=100% </t>
        </r>
      </text>
    </comment>
    <comment ref="AD426" authorId="1" shapeId="0" xr:uid="{3770001B-EDC1-4879-8B83-D0AB51950F58}">
      <text>
        <r>
          <rPr>
            <sz val="8"/>
            <color rgb="FF000000"/>
            <rFont val="Tahoma"/>
            <family val="2"/>
          </rPr>
          <t xml:space="preserve">Severe Warning  AA009:  Substantial Metric difference from prior year &gt;=100% </t>
        </r>
      </text>
    </comment>
    <comment ref="I427" authorId="1" shapeId="0" xr:uid="{A2E32F50-B272-4787-BAEF-99167F3F7421}">
      <text>
        <r>
          <rPr>
            <sz val="8"/>
            <color rgb="FF000000"/>
            <rFont val="Tahoma"/>
            <family val="2"/>
          </rPr>
          <t xml:space="preserve">Severe Warning  AA009:  Substantial Metric difference from prior year &gt;=100% </t>
        </r>
      </text>
    </comment>
    <comment ref="K427" authorId="1" shapeId="0" xr:uid="{2906D1CD-A07F-41F8-A114-5A894D4027E4}">
      <text>
        <r>
          <rPr>
            <sz val="8"/>
            <color rgb="FF000000"/>
            <rFont val="Tahoma"/>
            <family val="2"/>
          </rPr>
          <t xml:space="preserve">Severe Warning  AA009:  Substantial Metric difference from prior year &gt;=100% </t>
        </r>
      </text>
    </comment>
    <comment ref="O427" authorId="1" shapeId="0" xr:uid="{9A6E2B99-BE5F-4F79-81E6-7E6758C04371}">
      <text>
        <r>
          <rPr>
            <sz val="8"/>
            <color rgb="FF000000"/>
            <rFont val="Tahoma"/>
            <family val="2"/>
          </rPr>
          <t xml:space="preserve">Severe Warning  AA009:  Substantial Metric difference from prior year &gt;=100% </t>
        </r>
      </text>
    </comment>
    <comment ref="W427" authorId="1" shapeId="0" xr:uid="{E72044A3-E4F5-4F40-8AF4-D0C047A27627}">
      <text>
        <r>
          <rPr>
            <sz val="8"/>
            <color rgb="FF000000"/>
            <rFont val="Tahoma"/>
            <family val="2"/>
          </rPr>
          <t xml:space="preserve">Severe Warning  AA009:  Substantial Metric difference from prior year &gt;=100% </t>
        </r>
      </text>
    </comment>
    <comment ref="Y427" authorId="1" shapeId="0" xr:uid="{1050E2F2-8BEB-4D4C-AB52-01C89490E78A}">
      <text>
        <r>
          <rPr>
            <sz val="8"/>
            <color rgb="FF000000"/>
            <rFont val="Tahoma"/>
            <family val="2"/>
          </rPr>
          <t xml:space="preserve">Severe Warning  AA009:  Substantial Metric difference from prior year &gt;=100% </t>
        </r>
      </text>
    </comment>
    <comment ref="AC427" authorId="1" shapeId="0" xr:uid="{C55429C3-715B-4295-AC31-CD18EA0299C6}">
      <text>
        <r>
          <rPr>
            <sz val="8"/>
            <color rgb="FF000000"/>
            <rFont val="Tahoma"/>
            <family val="2"/>
          </rPr>
          <t xml:space="preserve">Severe Warning  AA009:  Substantial Metric difference from prior year &gt;=100% </t>
        </r>
      </text>
    </comment>
    <comment ref="I428" authorId="1" shapeId="0" xr:uid="{25C44BEF-3115-4773-A3A2-50BA1A4F177E}">
      <text>
        <r>
          <rPr>
            <sz val="8"/>
            <color rgb="FF000000"/>
            <rFont val="Tahoma"/>
            <family val="2"/>
          </rPr>
          <t xml:space="preserve">Severe Warning  AA009:  Substantial Metric difference from prior year &gt;=100% </t>
        </r>
      </text>
    </comment>
    <comment ref="K428" authorId="1" shapeId="0" xr:uid="{F7ADD618-E409-46A0-B72E-33028DFFC8BB}">
      <text>
        <r>
          <rPr>
            <sz val="8"/>
            <color rgb="FF000000"/>
            <rFont val="Tahoma"/>
            <family val="2"/>
          </rPr>
          <t xml:space="preserve">Severe Warning  AA009:  Substantial Metric difference from prior year &gt;=100% </t>
        </r>
      </text>
    </comment>
    <comment ref="O428" authorId="1" shapeId="0" xr:uid="{6C6A2914-D4A0-48D4-8D63-96C87A48652A}">
      <text>
        <r>
          <rPr>
            <sz val="8"/>
            <color rgb="FF000000"/>
            <rFont val="Tahoma"/>
            <family val="2"/>
          </rPr>
          <t xml:space="preserve">Severe Warning  AA009:  Substantial Metric difference from prior year &gt;=100% </t>
        </r>
      </text>
    </comment>
    <comment ref="P428" authorId="1" shapeId="0" xr:uid="{1356B87C-5C9F-4490-8B78-C9B920F8D943}">
      <text>
        <r>
          <rPr>
            <sz val="8"/>
            <color rgb="FF000000"/>
            <rFont val="Tahoma"/>
            <family val="2"/>
          </rPr>
          <t xml:space="preserve">Severe Warning  AA009:  Substantial Metric difference from prior year &gt;=100% </t>
        </r>
      </text>
    </comment>
    <comment ref="W428" authorId="1" shapeId="0" xr:uid="{AB880C56-12CB-4146-A23C-FC0A4783CA6E}">
      <text>
        <r>
          <rPr>
            <sz val="8"/>
            <color rgb="FF000000"/>
            <rFont val="Tahoma"/>
            <family val="2"/>
          </rPr>
          <t xml:space="preserve">Severe Warning  AA009:  Substantial Metric difference from prior year &gt;=100% </t>
        </r>
      </text>
    </comment>
    <comment ref="Y428" authorId="1" shapeId="0" xr:uid="{0840D7EC-9AC0-492D-A062-89AAFC1BB004}">
      <text>
        <r>
          <rPr>
            <sz val="8"/>
            <color rgb="FF000000"/>
            <rFont val="Tahoma"/>
            <family val="2"/>
          </rPr>
          <t xml:space="preserve">Severe Warning  AA009:  Substantial Metric difference from prior year &gt;=100% </t>
        </r>
      </text>
    </comment>
    <comment ref="AC428" authorId="1" shapeId="0" xr:uid="{18F40C60-7BFA-4238-A32B-C9D8CCE510A9}">
      <text>
        <r>
          <rPr>
            <sz val="8"/>
            <color rgb="FF000000"/>
            <rFont val="Tahoma"/>
            <family val="2"/>
          </rPr>
          <t xml:space="preserve">Severe Warning  AA009:  Substantial Metric difference from prior year &gt;=100% </t>
        </r>
      </text>
    </comment>
    <comment ref="AD428" authorId="1" shapeId="0" xr:uid="{AA37429D-8C11-4D2F-B833-5D074C91C617}">
      <text>
        <r>
          <rPr>
            <sz val="8"/>
            <color rgb="FF000000"/>
            <rFont val="Tahoma"/>
            <family val="2"/>
          </rPr>
          <t xml:space="preserve">Severe Warning  AA009:  Substantial Metric difference from prior year &gt;=100% </t>
        </r>
      </text>
    </comment>
    <comment ref="I429" authorId="1" shapeId="0" xr:uid="{DDD6BB50-E59F-47F9-9B06-0B71A2E1F018}">
      <text>
        <r>
          <rPr>
            <sz val="8"/>
            <color rgb="FF000000"/>
            <rFont val="Tahoma"/>
            <family val="2"/>
          </rPr>
          <t xml:space="preserve">Severe Warning  AA009:  Substantial Metric difference from prior year &gt;=100% </t>
        </r>
      </text>
    </comment>
    <comment ref="O429" authorId="1" shapeId="0" xr:uid="{BC2FFE1B-AF91-48B9-A46E-CB049CDF0534}">
      <text>
        <r>
          <rPr>
            <sz val="8"/>
            <color rgb="FF000000"/>
            <rFont val="Tahoma"/>
            <family val="2"/>
          </rPr>
          <t xml:space="preserve">Severe Warning  AA009:  Substantial Metric difference from prior year &gt;=100% </t>
        </r>
      </text>
    </comment>
    <comment ref="P429" authorId="1" shapeId="0" xr:uid="{A6581434-4FBD-4E54-82ED-7E5C693391D9}">
      <text>
        <r>
          <rPr>
            <sz val="8"/>
            <color rgb="FF000000"/>
            <rFont val="Tahoma"/>
            <family val="2"/>
          </rPr>
          <t xml:space="preserve">Severe Warning  AA009:  Substantial Metric difference from prior year &gt;=100% </t>
        </r>
      </text>
    </comment>
    <comment ref="W429" authorId="1" shapeId="0" xr:uid="{F74E91CB-DCAA-40F8-A386-26B052FB5138}">
      <text>
        <r>
          <rPr>
            <sz val="8"/>
            <color rgb="FF000000"/>
            <rFont val="Tahoma"/>
            <family val="2"/>
          </rPr>
          <t xml:space="preserve">Severe Warning  AA009:  Substantial Metric difference from prior year &gt;=100% </t>
        </r>
      </text>
    </comment>
    <comment ref="AC429" authorId="1" shapeId="0" xr:uid="{3C6F3A3D-2168-4AAA-B088-7042E5CEAE67}">
      <text>
        <r>
          <rPr>
            <sz val="8"/>
            <color rgb="FF000000"/>
            <rFont val="Tahoma"/>
            <family val="2"/>
          </rPr>
          <t xml:space="preserve">Severe Warning  AA009:  Substantial Metric difference from prior year &gt;=100% </t>
        </r>
      </text>
    </comment>
    <comment ref="AD429" authorId="1" shapeId="0" xr:uid="{9F141614-0ACF-4252-BB00-EEA8A0B0179D}">
      <text>
        <r>
          <rPr>
            <sz val="8"/>
            <color rgb="FF000000"/>
            <rFont val="Tahoma"/>
            <family val="2"/>
          </rPr>
          <t xml:space="preserve">Severe Warning  AA009:  Substantial Metric difference from prior year &gt;=100% </t>
        </r>
      </text>
    </comment>
    <comment ref="I430" authorId="1" shapeId="0" xr:uid="{3CAB9A74-A657-44B0-9174-18E12740F243}">
      <text>
        <r>
          <rPr>
            <sz val="8"/>
            <color rgb="FF000000"/>
            <rFont val="Tahoma"/>
            <family val="2"/>
          </rPr>
          <t xml:space="preserve">Severe Warning  AA009:  Substantial Metric difference from prior year &gt;=100% </t>
        </r>
      </text>
    </comment>
    <comment ref="K430" authorId="1" shapeId="0" xr:uid="{CEB8176D-06C0-4067-A4CB-C1BB2686352C}">
      <text>
        <r>
          <rPr>
            <sz val="8"/>
            <color rgb="FF000000"/>
            <rFont val="Tahoma"/>
            <family val="2"/>
          </rPr>
          <t xml:space="preserve">Severe Warning  AA009:  Substantial Metric difference from prior year &gt;=100% </t>
        </r>
      </text>
    </comment>
    <comment ref="O430" authorId="1" shapeId="0" xr:uid="{B6162BB3-D601-4195-87C8-147CE7C0DCA6}">
      <text>
        <r>
          <rPr>
            <sz val="8"/>
            <color rgb="FF000000"/>
            <rFont val="Tahoma"/>
            <family val="2"/>
          </rPr>
          <t xml:space="preserve">Severe Warning  AA009:  Substantial Metric difference from prior year &gt;=100% </t>
        </r>
      </text>
    </comment>
    <comment ref="P430" authorId="1" shapeId="0" xr:uid="{81A3F26C-E04D-4352-92F5-2D16B458B5E0}">
      <text>
        <r>
          <rPr>
            <sz val="8"/>
            <color rgb="FF000000"/>
            <rFont val="Tahoma"/>
            <family val="2"/>
          </rPr>
          <t xml:space="preserve">Severe Warning  AA009:  Substantial Metric difference from prior year &gt;=100% </t>
        </r>
      </text>
    </comment>
    <comment ref="W430" authorId="1" shapeId="0" xr:uid="{5337DA01-638D-4FEF-930E-A5A902563B35}">
      <text>
        <r>
          <rPr>
            <sz val="8"/>
            <color rgb="FF000000"/>
            <rFont val="Tahoma"/>
            <family val="2"/>
          </rPr>
          <t xml:space="preserve">Severe Warning  AA009:  Substantial Metric difference from prior year &gt;=100% </t>
        </r>
      </text>
    </comment>
    <comment ref="Y430" authorId="1" shapeId="0" xr:uid="{1FFC02B1-7B6A-4C2B-BA9C-B7DEAE2AFDBF}">
      <text>
        <r>
          <rPr>
            <sz val="8"/>
            <color rgb="FF000000"/>
            <rFont val="Tahoma"/>
            <family val="2"/>
          </rPr>
          <t xml:space="preserve">Severe Warning  AA009:  Substantial Metric difference from prior year &gt;=100% </t>
        </r>
      </text>
    </comment>
    <comment ref="AC430" authorId="1" shapeId="0" xr:uid="{B4C5A381-6A66-46A0-89E9-3E090DEDC56B}">
      <text>
        <r>
          <rPr>
            <sz val="8"/>
            <color rgb="FF000000"/>
            <rFont val="Tahoma"/>
            <family val="2"/>
          </rPr>
          <t xml:space="preserve">Severe Warning  AA009:  Substantial Metric difference from prior year &gt;=100% </t>
        </r>
      </text>
    </comment>
    <comment ref="AD430" authorId="1" shapeId="0" xr:uid="{1878B4F2-FE98-4BC0-B083-6AAC6ABDB19B}">
      <text>
        <r>
          <rPr>
            <sz val="8"/>
            <color rgb="FF000000"/>
            <rFont val="Tahoma"/>
            <family val="2"/>
          </rPr>
          <t xml:space="preserve">Severe Warning  AA009:  Substantial Metric difference from prior year &gt;=100% </t>
        </r>
      </text>
    </comment>
    <comment ref="I431" authorId="1" shapeId="0" xr:uid="{A18371DB-F504-484A-8E88-58C3B40C5691}">
      <text>
        <r>
          <rPr>
            <sz val="8"/>
            <color rgb="FF000000"/>
            <rFont val="Tahoma"/>
            <family val="2"/>
          </rPr>
          <t xml:space="preserve">Severe Warning  AA009:  Substantial Metric difference from prior year &gt;=100% </t>
        </r>
      </text>
    </comment>
    <comment ref="K431" authorId="1" shapeId="0" xr:uid="{760AC815-E574-4463-AEFD-9E14CA99C3FF}">
      <text>
        <r>
          <rPr>
            <sz val="8"/>
            <color rgb="FF000000"/>
            <rFont val="Tahoma"/>
            <family val="2"/>
          </rPr>
          <t xml:space="preserve">Severe Warning  AA009:  Substantial Metric difference from prior year &gt;=100% </t>
        </r>
      </text>
    </comment>
    <comment ref="Q431" authorId="1" shapeId="0" xr:uid="{526EABBD-3B06-44D5-83BF-21F86717E892}">
      <text>
        <r>
          <rPr>
            <sz val="8"/>
            <color rgb="FF000000"/>
            <rFont val="Tahoma"/>
            <family val="2"/>
          </rPr>
          <t xml:space="preserve">Severe Warning  AA009:  Substantial Metric difference from prior year &gt;=100% </t>
        </r>
      </text>
    </comment>
    <comment ref="W431" authorId="1" shapeId="0" xr:uid="{49AAE718-608E-4A88-8165-B292DA3B2211}">
      <text>
        <r>
          <rPr>
            <sz val="8"/>
            <color rgb="FF000000"/>
            <rFont val="Tahoma"/>
            <family val="2"/>
          </rPr>
          <t xml:space="preserve">Severe Warning  AA009:  Substantial Metric difference from prior year &gt;=100% </t>
        </r>
      </text>
    </comment>
    <comment ref="AE431" authorId="1" shapeId="0" xr:uid="{608D90D8-02CA-4316-9931-7077C7BA9ADA}">
      <text>
        <r>
          <rPr>
            <sz val="8"/>
            <color rgb="FF000000"/>
            <rFont val="Tahoma"/>
            <family val="2"/>
          </rPr>
          <t xml:space="preserve">Severe Warning  AA009:  Substantial Metric difference from prior year &gt;=100% </t>
        </r>
      </text>
    </comment>
    <comment ref="I432" authorId="1" shapeId="0" xr:uid="{469AC943-478E-4BA9-929F-79D772EAD9BA}">
      <text>
        <r>
          <rPr>
            <sz val="8"/>
            <color rgb="FF000000"/>
            <rFont val="Tahoma"/>
            <family val="2"/>
          </rPr>
          <t xml:space="preserve">Severe Warning  AA009:  Substantial Metric difference from prior year &gt;=100% </t>
        </r>
      </text>
    </comment>
    <comment ref="K432" authorId="1" shapeId="0" xr:uid="{128F9BD6-7EF7-41B6-BA95-9918CE15568B}">
      <text>
        <r>
          <rPr>
            <sz val="8"/>
            <color rgb="FF000000"/>
            <rFont val="Tahoma"/>
            <family val="2"/>
          </rPr>
          <t xml:space="preserve">Severe Warning  AA009:  Substantial Metric difference from prior year &gt;=100% </t>
        </r>
      </text>
    </comment>
    <comment ref="O432" authorId="1" shapeId="0" xr:uid="{365F6B51-317A-4953-9BB5-6D26885B5D12}">
      <text>
        <r>
          <rPr>
            <sz val="8"/>
            <color rgb="FF000000"/>
            <rFont val="Tahoma"/>
            <family val="2"/>
          </rPr>
          <t xml:space="preserve">Severe Warning  AA009:  Substantial Metric difference from prior year &gt;=100% </t>
        </r>
      </text>
    </comment>
    <comment ref="W432" authorId="1" shapeId="0" xr:uid="{3116693F-356B-42F7-863F-64E60548D725}">
      <text>
        <r>
          <rPr>
            <sz val="8"/>
            <color rgb="FF000000"/>
            <rFont val="Tahoma"/>
            <family val="2"/>
          </rPr>
          <t xml:space="preserve">Severe Warning  AA009:  Substantial Metric difference from prior year &gt;=100% </t>
        </r>
      </text>
    </comment>
    <comment ref="Y432" authorId="1" shapeId="0" xr:uid="{0C17BBFC-B4DC-4804-8B53-9C4B4BE4363F}">
      <text>
        <r>
          <rPr>
            <sz val="8"/>
            <color rgb="FF000000"/>
            <rFont val="Tahoma"/>
            <family val="2"/>
          </rPr>
          <t xml:space="preserve">Severe Warning  AA009:  Substantial Metric difference from prior year &gt;=100% </t>
        </r>
      </text>
    </comment>
    <comment ref="AC432" authorId="1" shapeId="0" xr:uid="{A6C6D42F-9DF2-40EE-AEBA-B2B8ED9525EF}">
      <text>
        <r>
          <rPr>
            <sz val="8"/>
            <color rgb="FF000000"/>
            <rFont val="Tahoma"/>
            <family val="2"/>
          </rPr>
          <t xml:space="preserve">Severe Warning  AA009:  Substantial Metric difference from prior year &gt;=100% </t>
        </r>
      </text>
    </comment>
    <comment ref="I433" authorId="1" shapeId="0" xr:uid="{0C3DBEB3-295F-40F5-9311-2BED9EAA3420}">
      <text>
        <r>
          <rPr>
            <sz val="8"/>
            <color rgb="FF000000"/>
            <rFont val="Tahoma"/>
            <family val="2"/>
          </rPr>
          <t xml:space="preserve">Severe Warning  AA009:  Substantial Metric difference from prior year &gt;=100% </t>
        </r>
      </text>
    </comment>
    <comment ref="K433" authorId="1" shapeId="0" xr:uid="{AC8BD5F5-76E9-4F00-9F59-78A54C6920CA}">
      <text>
        <r>
          <rPr>
            <sz val="8"/>
            <color rgb="FF000000"/>
            <rFont val="Tahoma"/>
            <family val="2"/>
          </rPr>
          <t xml:space="preserve">Severe Warning  AA009:  Substantial Metric difference from prior year &gt;=100% </t>
        </r>
      </text>
    </comment>
    <comment ref="O433" authorId="1" shapeId="0" xr:uid="{0EBBD76A-B0A0-4D9F-81F9-8A15DD5B6761}">
      <text>
        <r>
          <rPr>
            <sz val="8"/>
            <color rgb="FF000000"/>
            <rFont val="Tahoma"/>
            <family val="2"/>
          </rPr>
          <t xml:space="preserve">Severe Warning  AA009:  Substantial Metric difference from prior year &gt;=100% </t>
        </r>
      </text>
    </comment>
    <comment ref="P433" authorId="1" shapeId="0" xr:uid="{1397AE77-2F36-44E1-8DA8-A2C6ABE4979D}">
      <text>
        <r>
          <rPr>
            <sz val="8"/>
            <color rgb="FF000000"/>
            <rFont val="Tahoma"/>
            <family val="2"/>
          </rPr>
          <t xml:space="preserve">Severe Warning  AA009:  Substantial Metric difference from prior year &gt;=100% </t>
        </r>
      </text>
    </comment>
    <comment ref="W433" authorId="1" shapeId="0" xr:uid="{265716DD-85BA-4B87-8C2D-9E36FB65A1D3}">
      <text>
        <r>
          <rPr>
            <sz val="8"/>
            <color rgb="FF000000"/>
            <rFont val="Tahoma"/>
            <family val="2"/>
          </rPr>
          <t xml:space="preserve">Severe Warning  AA009:  Substantial Metric difference from prior year &gt;=100% </t>
        </r>
      </text>
    </comment>
    <comment ref="Y433" authorId="1" shapeId="0" xr:uid="{539F92CD-D20D-4B5A-801D-00C6FC81773A}">
      <text>
        <r>
          <rPr>
            <sz val="8"/>
            <color rgb="FF000000"/>
            <rFont val="Tahoma"/>
            <family val="2"/>
          </rPr>
          <t xml:space="preserve">Severe Warning  AA009:  Substantial Metric difference from prior year &gt;=100% </t>
        </r>
      </text>
    </comment>
    <comment ref="AC433" authorId="1" shapeId="0" xr:uid="{FC681F5F-54BA-457B-8AAC-F8750A6F2CFD}">
      <text>
        <r>
          <rPr>
            <sz val="8"/>
            <color rgb="FF000000"/>
            <rFont val="Tahoma"/>
            <family val="2"/>
          </rPr>
          <t xml:space="preserve">Severe Warning  AA009:  Substantial Metric difference from prior year &gt;=100% </t>
        </r>
      </text>
    </comment>
    <comment ref="AD433" authorId="1" shapeId="0" xr:uid="{9D077D61-4020-475F-8E51-F198A3E187D9}">
      <text>
        <r>
          <rPr>
            <sz val="8"/>
            <color rgb="FF000000"/>
            <rFont val="Tahoma"/>
            <family val="2"/>
          </rPr>
          <t xml:space="preserve">Severe Warning  AA009:  Substantial Metric difference from prior year &gt;=100% </t>
        </r>
      </text>
    </comment>
    <comment ref="I434" authorId="1" shapeId="0" xr:uid="{D5903934-DE23-4A66-8545-CB39F9034C42}">
      <text>
        <r>
          <rPr>
            <sz val="8"/>
            <color rgb="FF000000"/>
            <rFont val="Tahoma"/>
            <family val="2"/>
          </rPr>
          <t xml:space="preserve">Severe Warning  AA009:  Substantial Metric difference from prior year &gt;=100% </t>
        </r>
      </text>
    </comment>
    <comment ref="K434" authorId="1" shapeId="0" xr:uid="{9A34592C-8CF9-41D0-A1C2-1083289B6228}">
      <text>
        <r>
          <rPr>
            <sz val="8"/>
            <color rgb="FF000000"/>
            <rFont val="Tahoma"/>
            <family val="2"/>
          </rPr>
          <t xml:space="preserve">Severe Warning  AA009:  Substantial Metric difference from prior year &gt;=100% </t>
        </r>
      </text>
    </comment>
    <comment ref="O434" authorId="1" shapeId="0" xr:uid="{38A73B68-C74B-4A37-B316-030F6CE3828E}">
      <text>
        <r>
          <rPr>
            <sz val="8"/>
            <color rgb="FF000000"/>
            <rFont val="Tahoma"/>
            <family val="2"/>
          </rPr>
          <t xml:space="preserve">Severe Warning  AA009:  Substantial Metric difference from prior year &gt;=100% </t>
        </r>
      </text>
    </comment>
    <comment ref="W434" authorId="1" shapeId="0" xr:uid="{6E29BCDA-9124-4338-8F57-7CDB77B6833E}">
      <text>
        <r>
          <rPr>
            <sz val="8"/>
            <color rgb="FF000000"/>
            <rFont val="Tahoma"/>
            <family val="2"/>
          </rPr>
          <t xml:space="preserve">Severe Warning  AA009:  Substantial Metric difference from prior year &gt;=100% </t>
        </r>
      </text>
    </comment>
    <comment ref="AC434" authorId="1" shapeId="0" xr:uid="{AB1322A0-1CC3-43AA-B345-32173B228575}">
      <text>
        <r>
          <rPr>
            <sz val="8"/>
            <color rgb="FF000000"/>
            <rFont val="Tahoma"/>
            <family val="2"/>
          </rPr>
          <t xml:space="preserve">Severe Warning  AA009:  Substantial Metric difference from prior year &gt;=100% </t>
        </r>
      </text>
    </comment>
    <comment ref="I435" authorId="1" shapeId="0" xr:uid="{FE96708A-BF05-48E0-AB0C-93A9E21A71FF}">
      <text>
        <r>
          <rPr>
            <sz val="8"/>
            <color rgb="FF000000"/>
            <rFont val="Tahoma"/>
            <family val="2"/>
          </rPr>
          <t xml:space="preserve">Severe Warning  AA009:  Substantial Metric difference from prior year &gt;=100% </t>
        </r>
      </text>
    </comment>
    <comment ref="K435" authorId="1" shapeId="0" xr:uid="{6DB996D1-0667-4B55-A6E9-D4BF56CB0891}">
      <text>
        <r>
          <rPr>
            <sz val="8"/>
            <color rgb="FF000000"/>
            <rFont val="Tahoma"/>
            <family val="2"/>
          </rPr>
          <t xml:space="preserve">Severe Warning  AA009:  Substantial Metric difference from prior year &gt;=100% </t>
        </r>
      </text>
    </comment>
    <comment ref="O435" authorId="1" shapeId="0" xr:uid="{448CAF8E-9A9B-4EED-99ED-A7C61B5BAC1A}">
      <text>
        <r>
          <rPr>
            <sz val="8"/>
            <color rgb="FF000000"/>
            <rFont val="Tahoma"/>
            <family val="2"/>
          </rPr>
          <t xml:space="preserve">Severe Warning  AA009:  Substantial Metric difference from prior year &gt;=100% </t>
        </r>
      </text>
    </comment>
    <comment ref="P435" authorId="1" shapeId="0" xr:uid="{793FBE05-85F3-4380-B652-7ED0679B3060}">
      <text>
        <r>
          <rPr>
            <sz val="8"/>
            <color rgb="FF000000"/>
            <rFont val="Tahoma"/>
            <family val="2"/>
          </rPr>
          <t xml:space="preserve">Severe Warning  AA009:  Substantial Metric difference from prior year &gt;=100% </t>
        </r>
      </text>
    </comment>
    <comment ref="W435" authorId="1" shapeId="0" xr:uid="{09DF38C0-9116-41C2-B93E-97DF25C91BD5}">
      <text>
        <r>
          <rPr>
            <sz val="8"/>
            <color rgb="FF000000"/>
            <rFont val="Tahoma"/>
            <family val="2"/>
          </rPr>
          <t xml:space="preserve">Severe Warning  AA009:  Substantial Metric difference from prior year &gt;=100% </t>
        </r>
      </text>
    </comment>
    <comment ref="Y435" authorId="1" shapeId="0" xr:uid="{D8D76B1F-FDD8-4554-9A95-AA11F35C441E}">
      <text>
        <r>
          <rPr>
            <sz val="8"/>
            <color rgb="FF000000"/>
            <rFont val="Tahoma"/>
            <family val="2"/>
          </rPr>
          <t xml:space="preserve">Severe Warning  AA009:  Substantial Metric difference from prior year &gt;=100% </t>
        </r>
      </text>
    </comment>
    <comment ref="AC435" authorId="1" shapeId="0" xr:uid="{F5E3FCBA-F997-403B-AAC9-BF89A04556D9}">
      <text>
        <r>
          <rPr>
            <sz val="8"/>
            <color rgb="FF000000"/>
            <rFont val="Tahoma"/>
            <family val="2"/>
          </rPr>
          <t xml:space="preserve">Severe Warning  AA009:  Substantial Metric difference from prior year &gt;=100% </t>
        </r>
      </text>
    </comment>
    <comment ref="AD435" authorId="1" shapeId="0" xr:uid="{7E9A4215-1602-4B48-86D3-72121D5C0532}">
      <text>
        <r>
          <rPr>
            <sz val="8"/>
            <color rgb="FF000000"/>
            <rFont val="Tahoma"/>
            <family val="2"/>
          </rPr>
          <t xml:space="preserve">Severe Warning  AA009:  Substantial Metric difference from prior year &gt;=100% </t>
        </r>
      </text>
    </comment>
    <comment ref="I436" authorId="1" shapeId="0" xr:uid="{C543E1F5-D8D4-41AF-B001-D13268A94D39}">
      <text>
        <r>
          <rPr>
            <sz val="8"/>
            <color rgb="FF000000"/>
            <rFont val="Tahoma"/>
            <family val="2"/>
          </rPr>
          <t xml:space="preserve">Severe Warning  AA009:  Substantial Metric difference from prior year &gt;=100% </t>
        </r>
      </text>
    </comment>
    <comment ref="K436" authorId="1" shapeId="0" xr:uid="{FA60F16B-D302-4264-971E-DC6E1CCCA9BA}">
      <text>
        <r>
          <rPr>
            <sz val="8"/>
            <color rgb="FF000000"/>
            <rFont val="Tahoma"/>
            <family val="2"/>
          </rPr>
          <t xml:space="preserve">Severe Warning  AA009:  Substantial Metric difference from prior year &gt;=100% </t>
        </r>
      </text>
    </comment>
    <comment ref="O436" authorId="1" shapeId="0" xr:uid="{6095D295-6796-4C5C-96B0-B80884717EC2}">
      <text>
        <r>
          <rPr>
            <sz val="8"/>
            <color rgb="FF000000"/>
            <rFont val="Tahoma"/>
            <family val="2"/>
          </rPr>
          <t xml:space="preserve">Severe Warning  AA009:  Substantial Metric difference from prior year &gt;=100% </t>
        </r>
      </text>
    </comment>
    <comment ref="W436" authorId="1" shapeId="0" xr:uid="{75FB7C9D-7724-4DB9-84AF-A06891C29731}">
      <text>
        <r>
          <rPr>
            <sz val="8"/>
            <color rgb="FF000000"/>
            <rFont val="Tahoma"/>
            <family val="2"/>
          </rPr>
          <t xml:space="preserve">Severe Warning  AA009:  Substantial Metric difference from prior year &gt;=100% </t>
        </r>
      </text>
    </comment>
    <comment ref="AC436" authorId="1" shapeId="0" xr:uid="{13985251-9322-427C-9B3A-441AD262BF2B}">
      <text>
        <r>
          <rPr>
            <sz val="8"/>
            <color rgb="FF000000"/>
            <rFont val="Tahoma"/>
            <family val="2"/>
          </rPr>
          <t xml:space="preserve">Severe Warning  AA009:  Substantial Metric difference from prior year &gt;=100% </t>
        </r>
      </text>
    </comment>
    <comment ref="I437" authorId="1" shapeId="0" xr:uid="{B80A6674-3952-4084-9E94-3FD09B206B50}">
      <text>
        <r>
          <rPr>
            <sz val="8"/>
            <color rgb="FF000000"/>
            <rFont val="Tahoma"/>
            <family val="2"/>
          </rPr>
          <t xml:space="preserve">Severe Warning  AA009:  Substantial Metric difference from prior year &gt;=100% </t>
        </r>
      </text>
    </comment>
    <comment ref="K437" authorId="1" shapeId="0" xr:uid="{3966D661-3AFE-4F57-9EAE-A5D58FAC1C4A}">
      <text>
        <r>
          <rPr>
            <sz val="8"/>
            <color rgb="FF000000"/>
            <rFont val="Tahoma"/>
            <family val="2"/>
          </rPr>
          <t xml:space="preserve">Severe Warning  AA009:  Substantial Metric difference from prior year &gt;=100% </t>
        </r>
      </text>
    </comment>
    <comment ref="O437" authorId="1" shapeId="0" xr:uid="{1A97A3CB-303D-4D40-B845-48152D7CB491}">
      <text>
        <r>
          <rPr>
            <sz val="8"/>
            <color rgb="FF000000"/>
            <rFont val="Tahoma"/>
            <family val="2"/>
          </rPr>
          <t xml:space="preserve">Severe Warning  AA009:  Substantial Metric difference from prior year &gt;=100% </t>
        </r>
      </text>
    </comment>
    <comment ref="P437" authorId="1" shapeId="0" xr:uid="{3D03F2D7-80E7-4588-8851-52879DBC239B}">
      <text>
        <r>
          <rPr>
            <sz val="8"/>
            <color rgb="FF000000"/>
            <rFont val="Tahoma"/>
            <family val="2"/>
          </rPr>
          <t xml:space="preserve">Severe Warning  AA009:  Substantial Metric difference from prior year &gt;=100% </t>
        </r>
      </text>
    </comment>
    <comment ref="W437" authorId="1" shapeId="0" xr:uid="{C1418F1C-E425-4261-A06B-58B8250DE5DE}">
      <text>
        <r>
          <rPr>
            <sz val="8"/>
            <color rgb="FF000000"/>
            <rFont val="Tahoma"/>
            <family val="2"/>
          </rPr>
          <t xml:space="preserve">Severe Warning  AA009:  Substantial Metric difference from prior year &gt;=100% </t>
        </r>
      </text>
    </comment>
    <comment ref="Y437" authorId="1" shapeId="0" xr:uid="{E6D5C28E-CB85-4592-AACC-772270B73E1E}">
      <text>
        <r>
          <rPr>
            <sz val="8"/>
            <color rgb="FF000000"/>
            <rFont val="Tahoma"/>
            <family val="2"/>
          </rPr>
          <t xml:space="preserve">Severe Warning  AA009:  Substantial Metric difference from prior year &gt;=100% </t>
        </r>
      </text>
    </comment>
    <comment ref="AC437" authorId="1" shapeId="0" xr:uid="{BAE6C70D-BBBF-4086-93AA-B50A387CAA8F}">
      <text>
        <r>
          <rPr>
            <sz val="8"/>
            <color rgb="FF000000"/>
            <rFont val="Tahoma"/>
            <family val="2"/>
          </rPr>
          <t xml:space="preserve">Severe Warning  AA009:  Substantial Metric difference from prior year &gt;=100% </t>
        </r>
      </text>
    </comment>
    <comment ref="I438" authorId="1" shapeId="0" xr:uid="{19BED41E-B3BF-4A0C-AC05-3E44857BBEA5}">
      <text>
        <r>
          <rPr>
            <sz val="8"/>
            <color rgb="FF000000"/>
            <rFont val="Tahoma"/>
            <family val="2"/>
          </rPr>
          <t xml:space="preserve">Severe Warning  AA009:  Substantial Metric difference from prior year &gt;=100% </t>
        </r>
      </text>
    </comment>
    <comment ref="K438" authorId="1" shapeId="0" xr:uid="{5AD0ED55-CD02-4E0F-86A4-BF099D29F30C}">
      <text>
        <r>
          <rPr>
            <sz val="8"/>
            <color rgb="FF000000"/>
            <rFont val="Tahoma"/>
            <family val="2"/>
          </rPr>
          <t xml:space="preserve">Severe Warning  AA009:  Substantial Metric difference from prior year &gt;=100% </t>
        </r>
      </text>
    </comment>
    <comment ref="O438" authorId="1" shapeId="0" xr:uid="{62381588-19B4-4A81-8C37-6F83C9F9EA83}">
      <text>
        <r>
          <rPr>
            <sz val="8"/>
            <color rgb="FF000000"/>
            <rFont val="Tahoma"/>
            <family val="2"/>
          </rPr>
          <t xml:space="preserve">Severe Warning  AA009:  Substantial Metric difference from prior year &gt;=100% </t>
        </r>
      </text>
    </comment>
    <comment ref="P438" authorId="1" shapeId="0" xr:uid="{3705943F-40B4-4D61-8D2A-89CF2C2BD19A}">
      <text>
        <r>
          <rPr>
            <sz val="8"/>
            <color rgb="FF000000"/>
            <rFont val="Tahoma"/>
            <family val="2"/>
          </rPr>
          <t xml:space="preserve">Severe Warning  AA009:  Substantial Metric difference from prior year &gt;=100% </t>
        </r>
      </text>
    </comment>
    <comment ref="W438" authorId="1" shapeId="0" xr:uid="{F9BC9970-9377-4F74-84F7-9473A9FB4C5F}">
      <text>
        <r>
          <rPr>
            <sz val="8"/>
            <color rgb="FF000000"/>
            <rFont val="Tahoma"/>
            <family val="2"/>
          </rPr>
          <t xml:space="preserve">Severe Warning  AA009:  Substantial Metric difference from prior year &gt;=100% </t>
        </r>
      </text>
    </comment>
    <comment ref="AC438" authorId="1" shapeId="0" xr:uid="{08093337-0534-492C-AAAD-CB60AAE7E0B8}">
      <text>
        <r>
          <rPr>
            <sz val="8"/>
            <color rgb="FF000000"/>
            <rFont val="Tahoma"/>
            <family val="2"/>
          </rPr>
          <t xml:space="preserve">Severe Warning  AA009:  Substantial Metric difference from prior year &gt;=100% </t>
        </r>
      </text>
    </comment>
    <comment ref="AD438" authorId="1" shapeId="0" xr:uid="{D60D62E6-1604-435C-805B-B09400C69A9A}">
      <text>
        <r>
          <rPr>
            <sz val="8"/>
            <color rgb="FF000000"/>
            <rFont val="Tahoma"/>
            <family val="2"/>
          </rPr>
          <t xml:space="preserve">Severe Warning  AA009:  Substantial Metric difference from prior year &gt;=100% </t>
        </r>
      </text>
    </comment>
    <comment ref="I439" authorId="1" shapeId="0" xr:uid="{4B929044-ECF5-440A-83AF-34702B2D6F0B}">
      <text>
        <r>
          <rPr>
            <sz val="8"/>
            <color rgb="FF000000"/>
            <rFont val="Tahoma"/>
            <family val="2"/>
          </rPr>
          <t xml:space="preserve">Severe Warning  AA009:  Substantial Metric difference from prior year &gt;=100% </t>
        </r>
      </text>
    </comment>
    <comment ref="K439" authorId="1" shapeId="0" xr:uid="{FB204127-DD43-40D0-8923-FCB41D793821}">
      <text>
        <r>
          <rPr>
            <sz val="8"/>
            <color rgb="FF000000"/>
            <rFont val="Tahoma"/>
            <family val="2"/>
          </rPr>
          <t xml:space="preserve">Severe Warning  AA009:  Substantial Metric difference from prior year &gt;=100% </t>
        </r>
      </text>
    </comment>
    <comment ref="O439" authorId="1" shapeId="0" xr:uid="{B9EC9D06-8CF2-4AD2-9DB9-D46A15019E2A}">
      <text>
        <r>
          <rPr>
            <sz val="8"/>
            <color rgb="FF000000"/>
            <rFont val="Tahoma"/>
            <family val="2"/>
          </rPr>
          <t xml:space="preserve">Severe Warning  AA009:  Substantial Metric difference from prior year &gt;=100% </t>
        </r>
      </text>
    </comment>
    <comment ref="P439" authorId="1" shapeId="0" xr:uid="{D61EE02C-9330-42E8-950B-008E1C4C2190}">
      <text>
        <r>
          <rPr>
            <sz val="8"/>
            <color rgb="FF000000"/>
            <rFont val="Tahoma"/>
            <family val="2"/>
          </rPr>
          <t xml:space="preserve">Severe Warning  AA009:  Substantial Metric difference from prior year &gt;=100% </t>
        </r>
      </text>
    </comment>
    <comment ref="W439" authorId="1" shapeId="0" xr:uid="{C8887FB3-95EF-4525-9CB4-E14916E1B930}">
      <text>
        <r>
          <rPr>
            <sz val="8"/>
            <color rgb="FF000000"/>
            <rFont val="Tahoma"/>
            <family val="2"/>
          </rPr>
          <t xml:space="preserve">Severe Warning  AA009:  Substantial Metric difference from prior year &gt;=100% </t>
        </r>
      </text>
    </comment>
    <comment ref="AC439" authorId="1" shapeId="0" xr:uid="{49928146-EF3B-4A58-8566-EA005973F80A}">
      <text>
        <r>
          <rPr>
            <sz val="8"/>
            <color rgb="FF000000"/>
            <rFont val="Tahoma"/>
            <family val="2"/>
          </rPr>
          <t xml:space="preserve">Severe Warning  AA009:  Substantial Metric difference from prior year &gt;=100% </t>
        </r>
      </text>
    </comment>
    <comment ref="AD439" authorId="1" shapeId="0" xr:uid="{AE72C678-C5C9-484E-A4FC-AFA6D9C5B927}">
      <text>
        <r>
          <rPr>
            <sz val="8"/>
            <color rgb="FF000000"/>
            <rFont val="Tahoma"/>
            <family val="2"/>
          </rPr>
          <t xml:space="preserve">Severe Warning  AA009:  Substantial Metric difference from prior year &gt;=100% </t>
        </r>
      </text>
    </comment>
    <comment ref="I440" authorId="1" shapeId="0" xr:uid="{AFC0BC0C-8C3F-408E-9FE4-96C7CCFBB9E7}">
      <text>
        <r>
          <rPr>
            <sz val="8"/>
            <color rgb="FF000000"/>
            <rFont val="Tahoma"/>
            <family val="2"/>
          </rPr>
          <t xml:space="preserve">Severe Warning  AA009:  Substantial Metric difference from prior year &gt;=100% </t>
        </r>
      </text>
    </comment>
    <comment ref="K440" authorId="1" shapeId="0" xr:uid="{1382AB54-0F47-45FC-89B2-963C8C931BFE}">
      <text>
        <r>
          <rPr>
            <sz val="8"/>
            <color rgb="FF000000"/>
            <rFont val="Tahoma"/>
            <family val="2"/>
          </rPr>
          <t xml:space="preserve">Severe Warning  AA009:  Substantial Metric difference from prior year &gt;=100% </t>
        </r>
      </text>
    </comment>
    <comment ref="O440" authorId="1" shapeId="0" xr:uid="{F16E4C75-80DF-4BFC-B821-B804A65CF116}">
      <text>
        <r>
          <rPr>
            <sz val="8"/>
            <color rgb="FF000000"/>
            <rFont val="Tahoma"/>
            <family val="2"/>
          </rPr>
          <t xml:space="preserve">Severe Warning  AA009:  Substantial Metric difference from prior year &gt;=100% </t>
        </r>
      </text>
    </comment>
    <comment ref="P440" authorId="1" shapeId="0" xr:uid="{CF8D17F1-B69C-4AB3-BA77-877477F3AD86}">
      <text>
        <r>
          <rPr>
            <sz val="8"/>
            <color rgb="FF000000"/>
            <rFont val="Tahoma"/>
            <family val="2"/>
          </rPr>
          <t xml:space="preserve">Severe Warning  AA009:  Substantial Metric difference from prior year &gt;=100% </t>
        </r>
      </text>
    </comment>
    <comment ref="W440" authorId="1" shapeId="0" xr:uid="{E53CD86C-9175-4B24-AA00-89BD2939201E}">
      <text>
        <r>
          <rPr>
            <sz val="8"/>
            <color rgb="FF000000"/>
            <rFont val="Tahoma"/>
            <family val="2"/>
          </rPr>
          <t xml:space="preserve">Severe Warning  AA009:  Substantial Metric difference from prior year &gt;=100% </t>
        </r>
      </text>
    </comment>
    <comment ref="Y440" authorId="1" shapeId="0" xr:uid="{256D7C79-7523-4923-971B-FD27BF5D7960}">
      <text>
        <r>
          <rPr>
            <sz val="8"/>
            <color rgb="FF000000"/>
            <rFont val="Tahoma"/>
            <family val="2"/>
          </rPr>
          <t xml:space="preserve">Severe Warning  AA009:  Substantial Metric difference from prior year &gt;=100% </t>
        </r>
      </text>
    </comment>
    <comment ref="AC440" authorId="1" shapeId="0" xr:uid="{BE48D4F3-74BC-4B48-98C7-C5F6B6164E7A}">
      <text>
        <r>
          <rPr>
            <sz val="8"/>
            <color rgb="FF000000"/>
            <rFont val="Tahoma"/>
            <family val="2"/>
          </rPr>
          <t xml:space="preserve">Severe Warning  AA009:  Substantial Metric difference from prior year &gt;=100% </t>
        </r>
      </text>
    </comment>
    <comment ref="AD440" authorId="1" shapeId="0" xr:uid="{A51EB7DF-D292-4573-B787-5A28DDEC288F}">
      <text>
        <r>
          <rPr>
            <sz val="8"/>
            <color rgb="FF000000"/>
            <rFont val="Tahoma"/>
            <family val="2"/>
          </rPr>
          <t xml:space="preserve">Severe Warning  AA009:  Substantial Metric difference from prior year &gt;=100% </t>
        </r>
      </text>
    </comment>
    <comment ref="I441" authorId="1" shapeId="0" xr:uid="{DC35B856-8E17-4D6B-AFF7-6EE4121209DD}">
      <text>
        <r>
          <rPr>
            <sz val="8"/>
            <color rgb="FF000000"/>
            <rFont val="Tahoma"/>
            <family val="2"/>
          </rPr>
          <t xml:space="preserve">Severe Warning  AA009:  Substantial Metric difference from prior year &gt;=100% </t>
        </r>
      </text>
    </comment>
    <comment ref="K441" authorId="1" shapeId="0" xr:uid="{2A2C0B68-953B-4871-838D-91F030323785}">
      <text>
        <r>
          <rPr>
            <sz val="8"/>
            <color rgb="FF000000"/>
            <rFont val="Tahoma"/>
            <family val="2"/>
          </rPr>
          <t xml:space="preserve">Severe Warning  AA009:  Substantial Metric difference from prior year &gt;=100% </t>
        </r>
      </text>
    </comment>
    <comment ref="O441" authorId="1" shapeId="0" xr:uid="{7B2F8879-3996-43BF-97EE-59CB00BF5721}">
      <text>
        <r>
          <rPr>
            <sz val="8"/>
            <color rgb="FF000000"/>
            <rFont val="Tahoma"/>
            <family val="2"/>
          </rPr>
          <t xml:space="preserve">Severe Warning  AA009:  Substantial Metric difference from prior year &gt;=100% </t>
        </r>
      </text>
    </comment>
    <comment ref="P441" authorId="1" shapeId="0" xr:uid="{0A670C7C-2047-4A50-BC23-5E23A202929A}">
      <text>
        <r>
          <rPr>
            <sz val="8"/>
            <color rgb="FF000000"/>
            <rFont val="Tahoma"/>
            <family val="2"/>
          </rPr>
          <t xml:space="preserve">Severe Warning  AA009:  Substantial Metric difference from prior year &gt;=100% </t>
        </r>
      </text>
    </comment>
    <comment ref="Q441" authorId="1" shapeId="0" xr:uid="{F395497D-E4A8-4DD6-8045-6AB3C55110F4}">
      <text>
        <r>
          <rPr>
            <sz val="8"/>
            <color rgb="FF000000"/>
            <rFont val="Tahoma"/>
            <family val="2"/>
          </rPr>
          <t xml:space="preserve">Severe Warning  AA009:  Substantial Metric difference from prior year &gt;=100% </t>
        </r>
      </text>
    </comment>
    <comment ref="W441" authorId="1" shapeId="0" xr:uid="{3187A934-BAED-4EF5-AC0A-57281EB1CF42}">
      <text>
        <r>
          <rPr>
            <sz val="8"/>
            <color rgb="FF000000"/>
            <rFont val="Tahoma"/>
            <family val="2"/>
          </rPr>
          <t xml:space="preserve">Severe Warning  AA009:  Substantial Metric difference from prior year &gt;=100% </t>
        </r>
      </text>
    </comment>
    <comment ref="Y441" authorId="1" shapeId="0" xr:uid="{55F37C78-5347-4A4E-A2DB-25786C2CBDCF}">
      <text>
        <r>
          <rPr>
            <sz val="8"/>
            <color rgb="FF000000"/>
            <rFont val="Tahoma"/>
            <family val="2"/>
          </rPr>
          <t xml:space="preserve">Severe Warning  AA009:  Substantial Metric difference from prior year &gt;=100% </t>
        </r>
      </text>
    </comment>
    <comment ref="AC441" authorId="1" shapeId="0" xr:uid="{FBB96A51-AA66-41C4-8F40-64F79C314650}">
      <text>
        <r>
          <rPr>
            <sz val="8"/>
            <color rgb="FF000000"/>
            <rFont val="Tahoma"/>
            <family val="2"/>
          </rPr>
          <t xml:space="preserve">Severe Warning  AA009:  Substantial Metric difference from prior year &gt;=100% </t>
        </r>
      </text>
    </comment>
    <comment ref="AD441" authorId="1" shapeId="0" xr:uid="{C8C07205-C629-4CC8-BB56-685AE77AB2AE}">
      <text>
        <r>
          <rPr>
            <sz val="8"/>
            <color rgb="FF000000"/>
            <rFont val="Tahoma"/>
            <family val="2"/>
          </rPr>
          <t xml:space="preserve">Severe Warning  AA009:  Substantial Metric difference from prior year &gt;=100% </t>
        </r>
      </text>
    </comment>
    <comment ref="AE441" authorId="1" shapeId="0" xr:uid="{9A8695A3-163C-4D73-BF48-4551FF4E452A}">
      <text>
        <r>
          <rPr>
            <sz val="8"/>
            <color rgb="FF000000"/>
            <rFont val="Tahoma"/>
            <family val="2"/>
          </rPr>
          <t xml:space="preserve">Severe Warning  AA009:  Substantial Metric difference from prior year &gt;=100% </t>
        </r>
      </text>
    </comment>
    <comment ref="I442" authorId="1" shapeId="0" xr:uid="{F1CD243A-A6EA-4734-8952-7AF8DBAC5815}">
      <text>
        <r>
          <rPr>
            <sz val="8"/>
            <color rgb="FF000000"/>
            <rFont val="Tahoma"/>
            <family val="2"/>
          </rPr>
          <t xml:space="preserve">Severe Warning  AA009:  Substantial Metric difference from prior year &gt;=100% </t>
        </r>
      </text>
    </comment>
    <comment ref="K442" authorId="1" shapeId="0" xr:uid="{83AA53EB-6FF8-4594-BEE8-BE9ECF62D6BB}">
      <text>
        <r>
          <rPr>
            <sz val="8"/>
            <color rgb="FF000000"/>
            <rFont val="Tahoma"/>
            <family val="2"/>
          </rPr>
          <t xml:space="preserve">Severe Warning  AA009:  Substantial Metric difference from prior year &gt;=100% </t>
        </r>
      </text>
    </comment>
    <comment ref="O442" authorId="1" shapeId="0" xr:uid="{C1306F1D-BBE9-4691-9BF8-B0FF21903193}">
      <text>
        <r>
          <rPr>
            <sz val="8"/>
            <color rgb="FF000000"/>
            <rFont val="Tahoma"/>
            <family val="2"/>
          </rPr>
          <t xml:space="preserve">Severe Warning  AA009:  Substantial Metric difference from prior year &gt;=100% </t>
        </r>
      </text>
    </comment>
    <comment ref="P442" authorId="1" shapeId="0" xr:uid="{4284B449-DA31-4BB2-BFDB-189145A9BFAD}">
      <text>
        <r>
          <rPr>
            <sz val="8"/>
            <color rgb="FF000000"/>
            <rFont val="Tahoma"/>
            <family val="2"/>
          </rPr>
          <t xml:space="preserve">Severe Warning  AA009:  Substantial Metric difference from prior year &gt;=100% </t>
        </r>
      </text>
    </comment>
    <comment ref="Q442" authorId="1" shapeId="0" xr:uid="{9613880A-1743-4BC9-B61E-D9CA004418AF}">
      <text>
        <r>
          <rPr>
            <sz val="8"/>
            <color rgb="FF000000"/>
            <rFont val="Tahoma"/>
            <family val="2"/>
          </rPr>
          <t xml:space="preserve">Severe Warning  AA009:  Substantial Metric difference from prior year &gt;=100% </t>
        </r>
      </text>
    </comment>
    <comment ref="W442" authorId="1" shapeId="0" xr:uid="{C046B934-6018-41BD-A3CC-D96956A4F652}">
      <text>
        <r>
          <rPr>
            <sz val="8"/>
            <color rgb="FF000000"/>
            <rFont val="Tahoma"/>
            <family val="2"/>
          </rPr>
          <t xml:space="preserve">Severe Warning  AA009:  Substantial Metric difference from prior year &gt;=100% </t>
        </r>
      </text>
    </comment>
    <comment ref="Y442" authorId="1" shapeId="0" xr:uid="{A6D3262C-C64F-48E8-8A62-45A0BF285595}">
      <text>
        <r>
          <rPr>
            <sz val="8"/>
            <color rgb="FF000000"/>
            <rFont val="Tahoma"/>
            <family val="2"/>
          </rPr>
          <t xml:space="preserve">Severe Warning  AA009:  Substantial Metric difference from prior year &gt;=100% </t>
        </r>
      </text>
    </comment>
    <comment ref="AC442" authorId="1" shapeId="0" xr:uid="{12B22C4C-0A4D-4CFB-AFAA-4E5CB4CC5B12}">
      <text>
        <r>
          <rPr>
            <sz val="8"/>
            <color rgb="FF000000"/>
            <rFont val="Tahoma"/>
            <family val="2"/>
          </rPr>
          <t xml:space="preserve">Severe Warning  AA009:  Substantial Metric difference from prior year &gt;=100% </t>
        </r>
      </text>
    </comment>
    <comment ref="AE442" authorId="1" shapeId="0" xr:uid="{19B21071-3D05-417B-B2EE-4C8196DB2B11}">
      <text>
        <r>
          <rPr>
            <sz val="8"/>
            <color rgb="FF000000"/>
            <rFont val="Tahoma"/>
            <family val="2"/>
          </rPr>
          <t xml:space="preserve">Severe Warning  AA009:  Substantial Metric difference from prior year &gt;=100% </t>
        </r>
      </text>
    </comment>
    <comment ref="I443" authorId="1" shapeId="0" xr:uid="{70A5F9CC-B8A4-4B5C-88F5-7686C29681C5}">
      <text>
        <r>
          <rPr>
            <sz val="8"/>
            <color rgb="FF000000"/>
            <rFont val="Tahoma"/>
            <family val="2"/>
          </rPr>
          <t xml:space="preserve">Severe Warning  AA009:  Substantial Metric difference from prior year &gt;=100% </t>
        </r>
      </text>
    </comment>
    <comment ref="K443" authorId="1" shapeId="0" xr:uid="{A6B8789C-E591-4173-A286-E2FB4573C51B}">
      <text>
        <r>
          <rPr>
            <sz val="8"/>
            <color rgb="FF000000"/>
            <rFont val="Tahoma"/>
            <family val="2"/>
          </rPr>
          <t xml:space="preserve">Severe Warning  AA009:  Substantial Metric difference from prior year &gt;=100% </t>
        </r>
      </text>
    </comment>
    <comment ref="O443" authorId="1" shapeId="0" xr:uid="{074CC05C-4FE7-4AD1-A4EC-E2571683C73D}">
      <text>
        <r>
          <rPr>
            <sz val="8"/>
            <color rgb="FF000000"/>
            <rFont val="Tahoma"/>
            <family val="2"/>
          </rPr>
          <t xml:space="preserve">Severe Warning  AA009:  Substantial Metric difference from prior year &gt;=100% </t>
        </r>
      </text>
    </comment>
    <comment ref="Q443" authorId="1" shapeId="0" xr:uid="{9D3A00D7-6490-427F-8499-EF81D984C768}">
      <text>
        <r>
          <rPr>
            <sz val="8"/>
            <color rgb="FF000000"/>
            <rFont val="Tahoma"/>
            <family val="2"/>
          </rPr>
          <t xml:space="preserve">Severe Warning  AA009:  Substantial Metric difference from prior year &gt;=100% </t>
        </r>
      </text>
    </comment>
    <comment ref="W443" authorId="1" shapeId="0" xr:uid="{4922EF39-81EB-4FAF-8134-4A4152EA13C2}">
      <text>
        <r>
          <rPr>
            <sz val="8"/>
            <color rgb="FF000000"/>
            <rFont val="Tahoma"/>
            <family val="2"/>
          </rPr>
          <t xml:space="preserve">Severe Warning  AA009:  Substantial Metric difference from prior year &gt;=100% </t>
        </r>
      </text>
    </comment>
    <comment ref="AC443" authorId="1" shapeId="0" xr:uid="{98330020-753B-4742-9E76-A744C3432370}">
      <text>
        <r>
          <rPr>
            <sz val="8"/>
            <color rgb="FF000000"/>
            <rFont val="Tahoma"/>
            <family val="2"/>
          </rPr>
          <t xml:space="preserve">Severe Warning  AA009:  Substantial Metric difference from prior year &gt;=100% </t>
        </r>
      </text>
    </comment>
    <comment ref="AE443" authorId="1" shapeId="0" xr:uid="{20BCE596-DE65-48C8-AC1A-059D42904F31}">
      <text>
        <r>
          <rPr>
            <sz val="8"/>
            <color rgb="FF000000"/>
            <rFont val="Tahoma"/>
            <family val="2"/>
          </rPr>
          <t xml:space="preserve">Severe Warning  AA009:  Substantial Metric difference from prior year &gt;=100% </t>
        </r>
      </text>
    </comment>
    <comment ref="I444" authorId="1" shapeId="0" xr:uid="{101364DC-214A-46AC-BBF9-B76D459EAD9F}">
      <text>
        <r>
          <rPr>
            <sz val="8"/>
            <color rgb="FF000000"/>
            <rFont val="Tahoma"/>
            <family val="2"/>
          </rPr>
          <t xml:space="preserve">Severe Warning  AA009:  Substantial Metric difference from prior year &gt;=100% </t>
        </r>
      </text>
    </comment>
    <comment ref="K444" authorId="1" shapeId="0" xr:uid="{2B43F8D5-67E3-4CC7-97E3-625265173263}">
      <text>
        <r>
          <rPr>
            <sz val="8"/>
            <color rgb="FF000000"/>
            <rFont val="Tahoma"/>
            <family val="2"/>
          </rPr>
          <t xml:space="preserve">Severe Warning  AA009:  Substantial Metric difference from prior year &gt;=100% </t>
        </r>
      </text>
    </comment>
    <comment ref="O444" authorId="1" shapeId="0" xr:uid="{320D0512-6A84-4449-ABF0-E4683F28A109}">
      <text>
        <r>
          <rPr>
            <sz val="8"/>
            <color rgb="FF000000"/>
            <rFont val="Tahoma"/>
            <family val="2"/>
          </rPr>
          <t xml:space="preserve">Severe Warning  AA009:  Substantial Metric difference from prior year &gt;=100% </t>
        </r>
      </text>
    </comment>
    <comment ref="I445" authorId="1" shapeId="0" xr:uid="{6E8184DA-AD4D-4C0B-8584-FA7A7626A099}">
      <text>
        <r>
          <rPr>
            <sz val="8"/>
            <color rgb="FF000000"/>
            <rFont val="Tahoma"/>
            <family val="2"/>
          </rPr>
          <t xml:space="preserve">Severe Warning  AA009:  Substantial Metric difference from prior year &gt;=100% </t>
        </r>
      </text>
    </comment>
    <comment ref="K445" authorId="1" shapeId="0" xr:uid="{DD021F01-5023-442A-8C9F-22A192364C07}">
      <text>
        <r>
          <rPr>
            <sz val="8"/>
            <color rgb="FF000000"/>
            <rFont val="Tahoma"/>
            <family val="2"/>
          </rPr>
          <t xml:space="preserve">Severe Warning  AA009:  Substantial Metric difference from prior year &gt;=100% </t>
        </r>
      </text>
    </comment>
    <comment ref="O445" authorId="1" shapeId="0" xr:uid="{17511C2C-3043-4EBB-B09B-C01B546D1C24}">
      <text>
        <r>
          <rPr>
            <sz val="8"/>
            <color rgb="FF000000"/>
            <rFont val="Tahoma"/>
            <family val="2"/>
          </rPr>
          <t xml:space="preserve">Severe Warning  AA009:  Substantial Metric difference from prior year &gt;=100% </t>
        </r>
      </text>
    </comment>
    <comment ref="P445" authorId="1" shapeId="0" xr:uid="{A94EA03F-3D8A-4167-A8B2-A567D59F96C5}">
      <text>
        <r>
          <rPr>
            <sz val="8"/>
            <color rgb="FF000000"/>
            <rFont val="Tahoma"/>
            <family val="2"/>
          </rPr>
          <t xml:space="preserve">Severe Warning  AA009:  Substantial Metric difference from prior year &gt;=100% </t>
        </r>
      </text>
    </comment>
    <comment ref="I446" authorId="1" shapeId="0" xr:uid="{849D72EE-508E-4CFE-A676-70B4C1485498}">
      <text>
        <r>
          <rPr>
            <sz val="8"/>
            <color rgb="FF000000"/>
            <rFont val="Tahoma"/>
            <family val="2"/>
          </rPr>
          <t xml:space="preserve">Severe Warning  AA009:  Substantial Metric difference from prior year &gt;=100% </t>
        </r>
      </text>
    </comment>
    <comment ref="O446" authorId="1" shapeId="0" xr:uid="{5D524DB8-6CCA-4262-B37C-FEC30F64E0D1}">
      <text>
        <r>
          <rPr>
            <sz val="8"/>
            <color rgb="FF000000"/>
            <rFont val="Tahoma"/>
            <family val="2"/>
          </rPr>
          <t xml:space="preserve">Severe Warning  AA009:  Substantial Metric difference from prior year &gt;=100% </t>
        </r>
      </text>
    </comment>
    <comment ref="I447" authorId="1" shapeId="0" xr:uid="{DF0BAB77-7268-4B1B-AB99-FD4C077FD340}">
      <text>
        <r>
          <rPr>
            <sz val="8"/>
            <color rgb="FF000000"/>
            <rFont val="Tahoma"/>
            <family val="2"/>
          </rPr>
          <t xml:space="preserve">Severe Warning  AA009:  Substantial Metric difference from prior year &gt;=100% </t>
        </r>
      </text>
    </comment>
    <comment ref="K447" authorId="1" shapeId="0" xr:uid="{5EA245BF-28C3-4B51-8421-7FA09806DB04}">
      <text>
        <r>
          <rPr>
            <sz val="8"/>
            <color rgb="FF000000"/>
            <rFont val="Tahoma"/>
            <family val="2"/>
          </rPr>
          <t xml:space="preserve">Severe Warning  AA009:  Substantial Metric difference from prior year &gt;=100% </t>
        </r>
      </text>
    </comment>
    <comment ref="O447" authorId="1" shapeId="0" xr:uid="{FC62167F-873A-4F71-96EC-45149772EA35}">
      <text>
        <r>
          <rPr>
            <sz val="8"/>
            <color rgb="FF000000"/>
            <rFont val="Tahoma"/>
            <family val="2"/>
          </rPr>
          <t xml:space="preserve">Severe Warning  AA009:  Substantial Metric difference from prior year &gt;=100% </t>
        </r>
      </text>
    </comment>
    <comment ref="P447" authorId="1" shapeId="0" xr:uid="{B7064CDA-99F6-42D4-91A3-E8B5CF7B0ABE}">
      <text>
        <r>
          <rPr>
            <sz val="8"/>
            <color rgb="FF000000"/>
            <rFont val="Tahoma"/>
            <family val="2"/>
          </rPr>
          <t xml:space="preserve">Severe Warning  AA009:  Substantial Metric difference from prior year &gt;=100% </t>
        </r>
      </text>
    </comment>
    <comment ref="I448" authorId="1" shapeId="0" xr:uid="{8070E365-ACA6-4484-AD00-AD3794CEF3C5}">
      <text>
        <r>
          <rPr>
            <sz val="8"/>
            <color rgb="FF000000"/>
            <rFont val="Tahoma"/>
            <family val="2"/>
          </rPr>
          <t xml:space="preserve">Severe Warning  AA009:  Substantial Metric difference from prior year &gt;=100% </t>
        </r>
      </text>
    </comment>
    <comment ref="K448" authorId="1" shapeId="0" xr:uid="{22BC7F90-66BD-479E-BC43-5D740A776713}">
      <text>
        <r>
          <rPr>
            <sz val="8"/>
            <color rgb="FF000000"/>
            <rFont val="Tahoma"/>
            <family val="2"/>
          </rPr>
          <t xml:space="preserve">Severe Warning  AA009:  Substantial Metric difference from prior year &gt;=100% </t>
        </r>
      </text>
    </comment>
    <comment ref="O448" authorId="1" shapeId="0" xr:uid="{5B5A1542-F199-4F48-9699-1446EC418740}">
      <text>
        <r>
          <rPr>
            <sz val="8"/>
            <color rgb="FF000000"/>
            <rFont val="Tahoma"/>
            <family val="2"/>
          </rPr>
          <t xml:space="preserve">Severe Warning  AA009:  Substantial Metric difference from prior year &gt;=100% </t>
        </r>
      </text>
    </comment>
    <comment ref="I449" authorId="1" shapeId="0" xr:uid="{F65CB93D-FA04-42E8-8BBE-08F2535888AA}">
      <text>
        <r>
          <rPr>
            <sz val="8"/>
            <color rgb="FF000000"/>
            <rFont val="Tahoma"/>
            <family val="2"/>
          </rPr>
          <t xml:space="preserve">Severe Warning  AA009:  Substantial Metric difference from prior year &gt;=100% </t>
        </r>
      </text>
    </comment>
    <comment ref="K449" authorId="1" shapeId="0" xr:uid="{D94FA9B8-A0DD-47EE-A0F9-27F410198362}">
      <text>
        <r>
          <rPr>
            <sz val="8"/>
            <color rgb="FF000000"/>
            <rFont val="Tahoma"/>
            <family val="2"/>
          </rPr>
          <t xml:space="preserve">Severe Warning  AA009:  Substantial Metric difference from prior year &gt;=100% </t>
        </r>
      </text>
    </comment>
    <comment ref="O449" authorId="1" shapeId="0" xr:uid="{5BE59318-303D-4F67-9158-917D74B787E1}">
      <text>
        <r>
          <rPr>
            <sz val="8"/>
            <color rgb="FF000000"/>
            <rFont val="Tahoma"/>
            <family val="2"/>
          </rPr>
          <t xml:space="preserve">Severe Warning  AA009:  Substantial Metric difference from prior year &gt;=100% </t>
        </r>
      </text>
    </comment>
    <comment ref="P449" authorId="1" shapeId="0" xr:uid="{DEFBFA06-4E89-4BD7-9B65-40B82A11FD4A}">
      <text>
        <r>
          <rPr>
            <sz val="8"/>
            <color rgb="FF000000"/>
            <rFont val="Tahoma"/>
            <family val="2"/>
          </rPr>
          <t xml:space="preserve">Severe Warning  AA009:  Substantial Metric difference from prior year &gt;=100% </t>
        </r>
      </text>
    </comment>
    <comment ref="Q449" authorId="1" shapeId="0" xr:uid="{2B6AF869-1402-4F68-8551-4583B57A3256}">
      <text>
        <r>
          <rPr>
            <sz val="8"/>
            <color rgb="FF000000"/>
            <rFont val="Tahoma"/>
            <family val="2"/>
          </rPr>
          <t xml:space="preserve">Severe Warning  AA009:  Substantial Metric difference from prior year &gt;=100% </t>
        </r>
      </text>
    </comment>
    <comment ref="I450" authorId="1" shapeId="0" xr:uid="{EDE7D0D3-104B-4407-B9AF-F5EC3EFC9F81}">
      <text>
        <r>
          <rPr>
            <sz val="8"/>
            <color rgb="FF000000"/>
            <rFont val="Tahoma"/>
            <family val="2"/>
          </rPr>
          <t xml:space="preserve">Severe Warning  AA009:  Substantial Metric difference from prior year &gt;=100% </t>
        </r>
      </text>
    </comment>
    <comment ref="K450" authorId="1" shapeId="0" xr:uid="{05E0194B-81F2-42F6-8748-5F384D221CE5}">
      <text>
        <r>
          <rPr>
            <sz val="8"/>
            <color rgb="FF000000"/>
            <rFont val="Tahoma"/>
            <family val="2"/>
          </rPr>
          <t xml:space="preserve">Severe Warning  AA009:  Substantial Metric difference from prior year &gt;=100% </t>
        </r>
      </text>
    </comment>
    <comment ref="O450" authorId="1" shapeId="0" xr:uid="{2384339F-ADF5-4C53-8798-B79733B474AC}">
      <text>
        <r>
          <rPr>
            <sz val="8"/>
            <color rgb="FF000000"/>
            <rFont val="Tahoma"/>
            <family val="2"/>
          </rPr>
          <t xml:space="preserve">Severe Warning  AA009:  Substantial Metric difference from prior year &gt;=100% </t>
        </r>
      </text>
    </comment>
    <comment ref="I451" authorId="1" shapeId="0" xr:uid="{E18B1727-9D49-4304-9D4F-395A8983D671}">
      <text>
        <r>
          <rPr>
            <sz val="8"/>
            <color rgb="FF000000"/>
            <rFont val="Tahoma"/>
            <family val="2"/>
          </rPr>
          <t xml:space="preserve">Severe Warning  AA009:  Substantial Metric difference from prior year &gt;=100% </t>
        </r>
      </text>
    </comment>
    <comment ref="K451" authorId="1" shapeId="0" xr:uid="{6BC3B3C5-CE76-45ED-A3C1-AEFFBB04CF34}">
      <text>
        <r>
          <rPr>
            <sz val="8"/>
            <color rgb="FF000000"/>
            <rFont val="Tahoma"/>
            <family val="2"/>
          </rPr>
          <t xml:space="preserve">Severe Warning  AA009:  Substantial Metric difference from prior year &gt;=100% </t>
        </r>
      </text>
    </comment>
    <comment ref="O451" authorId="1" shapeId="0" xr:uid="{2BF50C20-2B9F-4B0B-9E0B-7BC259E2D0FD}">
      <text>
        <r>
          <rPr>
            <sz val="8"/>
            <color rgb="FF000000"/>
            <rFont val="Tahoma"/>
            <family val="2"/>
          </rPr>
          <t xml:space="preserve">Severe Warning  AA009:  Substantial Metric difference from prior year &gt;=100% </t>
        </r>
      </text>
    </comment>
    <comment ref="P451" authorId="1" shapeId="0" xr:uid="{02AD75B6-F3EA-4153-ABA3-ED5F517B78F3}">
      <text>
        <r>
          <rPr>
            <sz val="8"/>
            <color rgb="FF000000"/>
            <rFont val="Tahoma"/>
            <family val="2"/>
          </rPr>
          <t xml:space="preserve">Severe Warning  AA009:  Substantial Metric difference from prior year &gt;=100% </t>
        </r>
      </text>
    </comment>
    <comment ref="Q451" authorId="1" shapeId="0" xr:uid="{B48AA2FF-D77B-42C7-9E99-18AB2A95C340}">
      <text>
        <r>
          <rPr>
            <sz val="8"/>
            <color rgb="FF000000"/>
            <rFont val="Tahoma"/>
            <family val="2"/>
          </rPr>
          <t xml:space="preserve">Severe Warning  AA009:  Substantial Metric difference from prior year &gt;=100% </t>
        </r>
      </text>
    </comment>
    <comment ref="I452" authorId="1" shapeId="0" xr:uid="{DD0DA240-2298-4495-AD69-98EEAB9548E1}">
      <text>
        <r>
          <rPr>
            <sz val="8"/>
            <color rgb="FF000000"/>
            <rFont val="Tahoma"/>
            <family val="2"/>
          </rPr>
          <t xml:space="preserve">Severe Warning  AA009:  Substantial Metric difference from prior year &gt;=100% </t>
        </r>
      </text>
    </comment>
    <comment ref="K452" authorId="1" shapeId="0" xr:uid="{3FCC1BCE-14A0-4675-8DCC-3B9BC271F9F9}">
      <text>
        <r>
          <rPr>
            <sz val="8"/>
            <color rgb="FF000000"/>
            <rFont val="Tahoma"/>
            <family val="2"/>
          </rPr>
          <t xml:space="preserve">Severe Warning  AA009:  Substantial Metric difference from prior year &gt;=100% </t>
        </r>
      </text>
    </comment>
    <comment ref="O452" authorId="1" shapeId="0" xr:uid="{E9D19811-AEF2-4388-AC6D-189FA9CE6DB1}">
      <text>
        <r>
          <rPr>
            <sz val="8"/>
            <color rgb="FF000000"/>
            <rFont val="Tahoma"/>
            <family val="2"/>
          </rPr>
          <t xml:space="preserve">Severe Warning  AA009:  Substantial Metric difference from prior year &gt;=100% </t>
        </r>
      </text>
    </comment>
    <comment ref="Q452" authorId="1" shapeId="0" xr:uid="{1FDD222D-A898-400E-9224-DA1477DDEF56}">
      <text>
        <r>
          <rPr>
            <sz val="8"/>
            <color rgb="FF000000"/>
            <rFont val="Tahoma"/>
            <family val="2"/>
          </rPr>
          <t xml:space="preserve">Severe Warning  AA009:  Substantial Metric difference from prior year &gt;=100% </t>
        </r>
      </text>
    </comment>
    <comment ref="I453" authorId="1" shapeId="0" xr:uid="{C3E17BA3-A28E-4994-958F-FB329E6B7792}">
      <text>
        <r>
          <rPr>
            <sz val="8"/>
            <color rgb="FF000000"/>
            <rFont val="Tahoma"/>
            <family val="2"/>
          </rPr>
          <t xml:space="preserve">Severe Warning  AA009:  Substantial Metric difference from prior year &gt;=100% </t>
        </r>
      </text>
    </comment>
    <comment ref="K453" authorId="1" shapeId="0" xr:uid="{43BE96A9-3050-4198-9EDB-81CD5D672C63}">
      <text>
        <r>
          <rPr>
            <sz val="8"/>
            <color rgb="FF000000"/>
            <rFont val="Tahoma"/>
            <family val="2"/>
          </rPr>
          <t xml:space="preserve">Severe Warning  AA009:  Substantial Metric difference from prior year &gt;=100% </t>
        </r>
      </text>
    </comment>
    <comment ref="O453" authorId="1" shapeId="0" xr:uid="{658ED4FD-38E0-4D6E-8280-227BD96DB184}">
      <text>
        <r>
          <rPr>
            <sz val="8"/>
            <color rgb="FF000000"/>
            <rFont val="Tahoma"/>
            <family val="2"/>
          </rPr>
          <t xml:space="preserve">Severe Warning  AA009:  Substantial Metric difference from prior year &gt;=100% </t>
        </r>
      </text>
    </comment>
    <comment ref="P453" authorId="1" shapeId="0" xr:uid="{A499F3EB-0875-4F63-965B-4A152252CF8F}">
      <text>
        <r>
          <rPr>
            <sz val="8"/>
            <color rgb="FF000000"/>
            <rFont val="Tahoma"/>
            <family val="2"/>
          </rPr>
          <t xml:space="preserve">Severe Warning  AA009:  Substantial Metric difference from prior year &gt;=100% </t>
        </r>
      </text>
    </comment>
    <comment ref="I454" authorId="1" shapeId="0" xr:uid="{3D33DB53-A058-4ADA-A89B-68ABB4D0EA5C}">
      <text>
        <r>
          <rPr>
            <sz val="8"/>
            <color rgb="FF000000"/>
            <rFont val="Tahoma"/>
            <family val="2"/>
          </rPr>
          <t xml:space="preserve">Severe Warning  AA009:  Substantial Metric difference from prior year &gt;=100% </t>
        </r>
      </text>
    </comment>
    <comment ref="K454" authorId="1" shapeId="0" xr:uid="{F2B858D2-01D7-45E8-AC56-B800FF35FE58}">
      <text>
        <r>
          <rPr>
            <sz val="8"/>
            <color rgb="FF000000"/>
            <rFont val="Tahoma"/>
            <family val="2"/>
          </rPr>
          <t xml:space="preserve">Severe Warning  AA009:  Substantial Metric difference from prior year &gt;=100% </t>
        </r>
      </text>
    </comment>
    <comment ref="O454" authorId="1" shapeId="0" xr:uid="{665988EE-522F-4533-ABFE-0E75AF2D4100}">
      <text>
        <r>
          <rPr>
            <sz val="8"/>
            <color rgb="FF000000"/>
            <rFont val="Tahoma"/>
            <family val="2"/>
          </rPr>
          <t xml:space="preserve">Severe Warning  AA009:  Substantial Metric difference from prior year &gt;=100% </t>
        </r>
      </text>
    </comment>
    <comment ref="Q454" authorId="1" shapeId="0" xr:uid="{CB6EAC5C-6446-40C6-9A07-33FC90665F28}">
      <text>
        <r>
          <rPr>
            <sz val="8"/>
            <color rgb="FF000000"/>
            <rFont val="Tahoma"/>
            <family val="2"/>
          </rPr>
          <t xml:space="preserve">Severe Warning  AA009:  Substantial Metric difference from prior year &gt;=100% </t>
        </r>
      </text>
    </comment>
    <comment ref="I455" authorId="1" shapeId="0" xr:uid="{2BDCA5D4-9011-4225-A3B0-BF0AD912DF6E}">
      <text>
        <r>
          <rPr>
            <sz val="8"/>
            <color rgb="FF000000"/>
            <rFont val="Tahoma"/>
            <family val="2"/>
          </rPr>
          <t xml:space="preserve">Severe Warning  AA009:  Substantial Metric difference from prior year &gt;=100% </t>
        </r>
      </text>
    </comment>
    <comment ref="K455" authorId="1" shapeId="0" xr:uid="{06F7D6DD-C316-4DBC-BDCA-DC88C80CB9A6}">
      <text>
        <r>
          <rPr>
            <sz val="8"/>
            <color rgb="FF000000"/>
            <rFont val="Tahoma"/>
            <family val="2"/>
          </rPr>
          <t xml:space="preserve">Severe Warning  AA009:  Substantial Metric difference from prior year &gt;=100% </t>
        </r>
      </text>
    </comment>
    <comment ref="O455" authorId="1" shapeId="0" xr:uid="{D4584444-3462-4AA5-8F25-CB14C5C51825}">
      <text>
        <r>
          <rPr>
            <sz val="8"/>
            <color rgb="FF000000"/>
            <rFont val="Tahoma"/>
            <family val="2"/>
          </rPr>
          <t xml:space="preserve">Severe Warning  AA009:  Substantial Metric difference from prior year &gt;=100% </t>
        </r>
      </text>
    </comment>
    <comment ref="I456" authorId="1" shapeId="0" xr:uid="{AE70BA6E-4725-47A3-B566-6DAA052E5C59}">
      <text>
        <r>
          <rPr>
            <sz val="8"/>
            <color rgb="FF000000"/>
            <rFont val="Tahoma"/>
            <family val="2"/>
          </rPr>
          <t xml:space="preserve">Severe Warning  AA009:  Substantial Metric difference from prior year &gt;=100% </t>
        </r>
      </text>
    </comment>
    <comment ref="K456" authorId="1" shapeId="0" xr:uid="{ACEA2B5C-66BC-4493-8950-07F56A5B409E}">
      <text>
        <r>
          <rPr>
            <sz val="8"/>
            <color rgb="FF000000"/>
            <rFont val="Tahoma"/>
            <family val="2"/>
          </rPr>
          <t xml:space="preserve">Severe Warning  AA009:  Substantial Metric difference from prior year &gt;=100% </t>
        </r>
      </text>
    </comment>
    <comment ref="O456" authorId="1" shapeId="0" xr:uid="{3F187C54-BCF6-407A-83D9-1D6D950D91A8}">
      <text>
        <r>
          <rPr>
            <sz val="8"/>
            <color rgb="FF000000"/>
            <rFont val="Tahoma"/>
            <family val="2"/>
          </rPr>
          <t xml:space="preserve">Severe Warning  AA009:  Substantial Metric difference from prior year &gt;=100% </t>
        </r>
      </text>
    </comment>
    <comment ref="I457" authorId="1" shapeId="0" xr:uid="{76D6FB72-A9CB-44BA-B453-3C0F8B9A32CA}">
      <text>
        <r>
          <rPr>
            <sz val="8"/>
            <color rgb="FF000000"/>
            <rFont val="Tahoma"/>
            <family val="2"/>
          </rPr>
          <t xml:space="preserve">Severe Warning  AA009:  Substantial Metric difference from prior year &gt;=100% </t>
        </r>
      </text>
    </comment>
    <comment ref="K457" authorId="1" shapeId="0" xr:uid="{04E0B6DC-8F11-4152-B859-52B7B515A230}">
      <text>
        <r>
          <rPr>
            <sz val="8"/>
            <color rgb="FF000000"/>
            <rFont val="Tahoma"/>
            <family val="2"/>
          </rPr>
          <t xml:space="preserve">Severe Warning  AA009:  Substantial Metric difference from prior year &gt;=100% </t>
        </r>
      </text>
    </comment>
    <comment ref="O457" authorId="1" shapeId="0" xr:uid="{8EB361DF-9604-4CB9-B444-1E1535992158}">
      <text>
        <r>
          <rPr>
            <sz val="8"/>
            <color rgb="FF000000"/>
            <rFont val="Tahoma"/>
            <family val="2"/>
          </rPr>
          <t xml:space="preserve">Severe Warning  AA009:  Substantial Metric difference from prior year &gt;=100% </t>
        </r>
      </text>
    </comment>
    <comment ref="I458" authorId="1" shapeId="0" xr:uid="{3FB62507-FCCD-4127-8778-8E4B52FB768C}">
      <text>
        <r>
          <rPr>
            <sz val="8"/>
            <color rgb="FF000000"/>
            <rFont val="Tahoma"/>
            <family val="2"/>
          </rPr>
          <t xml:space="preserve">Severe Warning  AA009:  Substantial Metric difference from prior year &gt;=100% </t>
        </r>
      </text>
    </comment>
    <comment ref="K458" authorId="1" shapeId="0" xr:uid="{7D57BD6A-D309-4336-8514-B928589A1235}">
      <text>
        <r>
          <rPr>
            <sz val="8"/>
            <color rgb="FF000000"/>
            <rFont val="Tahoma"/>
            <family val="2"/>
          </rPr>
          <t xml:space="preserve">Severe Warning  AA009:  Substantial Metric difference from prior year &gt;=100% </t>
        </r>
      </text>
    </comment>
    <comment ref="O458" authorId="1" shapeId="0" xr:uid="{72C70DC3-9E0E-4155-BB64-8ABB2EB30F30}">
      <text>
        <r>
          <rPr>
            <sz val="8"/>
            <color rgb="FF000000"/>
            <rFont val="Tahoma"/>
            <family val="2"/>
          </rPr>
          <t xml:space="preserve">Severe Warning  AA009:  Substantial Metric difference from prior year &gt;=100% </t>
        </r>
      </text>
    </comment>
    <comment ref="P458" authorId="1" shapeId="0" xr:uid="{A75E6A31-E94E-4143-A6FE-4D8F867BDC9B}">
      <text>
        <r>
          <rPr>
            <sz val="8"/>
            <color rgb="FF000000"/>
            <rFont val="Tahoma"/>
            <family val="2"/>
          </rPr>
          <t xml:space="preserve">Severe Warning  AA009:  Substantial Metric difference from prior year &gt;=100% </t>
        </r>
      </text>
    </comment>
    <comment ref="I459" authorId="1" shapeId="0" xr:uid="{D73E51D6-11FF-4B2D-81B2-0A5C32F368B9}">
      <text>
        <r>
          <rPr>
            <sz val="8"/>
            <color rgb="FF000000"/>
            <rFont val="Tahoma"/>
            <family val="2"/>
          </rPr>
          <t xml:space="preserve">Severe Warning  AA009:  Substantial Metric difference from prior year &gt;=100% </t>
        </r>
      </text>
    </comment>
    <comment ref="K459" authorId="1" shapeId="0" xr:uid="{DAF6C099-A9CC-45D4-810E-CE26E7526212}">
      <text>
        <r>
          <rPr>
            <sz val="8"/>
            <color rgb="FF000000"/>
            <rFont val="Tahoma"/>
            <family val="2"/>
          </rPr>
          <t xml:space="preserve">Severe Warning  AA009:  Substantial Metric difference from prior year &gt;=100% </t>
        </r>
      </text>
    </comment>
    <comment ref="O459" authorId="1" shapeId="0" xr:uid="{2FA6C7BE-0D27-4404-8995-E416C89C3F82}">
      <text>
        <r>
          <rPr>
            <sz val="8"/>
            <color rgb="FF000000"/>
            <rFont val="Tahoma"/>
            <family val="2"/>
          </rPr>
          <t xml:space="preserve">Severe Warning  AA009:  Substantial Metric difference from prior year &gt;=100% </t>
        </r>
      </text>
    </comment>
    <comment ref="I460" authorId="1" shapeId="0" xr:uid="{E6AAECDA-D87E-49BB-A6ED-A5BD738A1925}">
      <text>
        <r>
          <rPr>
            <sz val="8"/>
            <color rgb="FF000000"/>
            <rFont val="Tahoma"/>
            <family val="2"/>
          </rPr>
          <t xml:space="preserve">Severe Warning  AA009:  Substantial Metric difference from prior year &gt;=100% </t>
        </r>
      </text>
    </comment>
    <comment ref="O460" authorId="1" shapeId="0" xr:uid="{ED4B1436-EEE2-4AD9-B7D4-D190A05F4375}">
      <text>
        <r>
          <rPr>
            <sz val="8"/>
            <color rgb="FF000000"/>
            <rFont val="Tahoma"/>
            <family val="2"/>
          </rPr>
          <t xml:space="preserve">Severe Warning  AA009:  Substantial Metric difference from prior year &gt;=100% </t>
        </r>
      </text>
    </comment>
    <comment ref="P460" authorId="1" shapeId="0" xr:uid="{99B0CCCF-9038-4B2A-9885-81726D75FBBF}">
      <text>
        <r>
          <rPr>
            <sz val="8"/>
            <color rgb="FF000000"/>
            <rFont val="Tahoma"/>
            <family val="2"/>
          </rPr>
          <t xml:space="preserve">Severe Warning  AA009:  Substantial Metric difference from prior year &gt;=100% </t>
        </r>
      </text>
    </comment>
    <comment ref="I461" authorId="1" shapeId="0" xr:uid="{0BC2D2DE-1B72-42F0-804B-A021DBF0FBE2}">
      <text>
        <r>
          <rPr>
            <sz val="8"/>
            <color rgb="FF000000"/>
            <rFont val="Tahoma"/>
            <family val="2"/>
          </rPr>
          <t xml:space="preserve">Severe Warning  AA009:  Substantial Metric difference from prior year &gt;=100% </t>
        </r>
      </text>
    </comment>
    <comment ref="K461" authorId="1" shapeId="0" xr:uid="{AA529148-93AC-41E1-A0F7-DEB44BB3C3C1}">
      <text>
        <r>
          <rPr>
            <sz val="8"/>
            <color rgb="FF000000"/>
            <rFont val="Tahoma"/>
            <family val="2"/>
          </rPr>
          <t xml:space="preserve">Severe Warning  AA009:  Substantial Metric difference from prior year &gt;=100% </t>
        </r>
      </text>
    </comment>
    <comment ref="O461" authorId="1" shapeId="0" xr:uid="{56E446B6-40A5-457C-9AFF-215DFE2B0205}">
      <text>
        <r>
          <rPr>
            <sz val="8"/>
            <color rgb="FF000000"/>
            <rFont val="Tahoma"/>
            <family val="2"/>
          </rPr>
          <t xml:space="preserve">Severe Warning  AA009:  Substantial Metric difference from prior year &gt;=100% </t>
        </r>
      </text>
    </comment>
    <comment ref="I462" authorId="1" shapeId="0" xr:uid="{C49B7AE7-0371-496E-BD83-9091B897CDCA}">
      <text>
        <r>
          <rPr>
            <sz val="8"/>
            <color rgb="FF000000"/>
            <rFont val="Tahoma"/>
            <family val="2"/>
          </rPr>
          <t xml:space="preserve">Severe Warning  AA009:  Substantial Metric difference from prior year &gt;=100% </t>
        </r>
      </text>
    </comment>
    <comment ref="K462" authorId="1" shapeId="0" xr:uid="{447FF254-2897-4A92-89CB-0C6278B8EA2D}">
      <text>
        <r>
          <rPr>
            <sz val="8"/>
            <color rgb="FF000000"/>
            <rFont val="Tahoma"/>
            <family val="2"/>
          </rPr>
          <t xml:space="preserve">Severe Warning  AA009:  Substantial Metric difference from prior year &gt;=100% </t>
        </r>
      </text>
    </comment>
    <comment ref="O462" authorId="1" shapeId="0" xr:uid="{169C361C-CDE6-4A97-AF33-388A2E993E3C}">
      <text>
        <r>
          <rPr>
            <sz val="8"/>
            <color rgb="FF000000"/>
            <rFont val="Tahoma"/>
            <family val="2"/>
          </rPr>
          <t xml:space="preserve">Severe Warning  AA009:  Substantial Metric difference from prior year &gt;=100% </t>
        </r>
      </text>
    </comment>
    <comment ref="I463" authorId="1" shapeId="0" xr:uid="{2C083004-2A07-4FDB-9EDD-F0D5C67E26A5}">
      <text>
        <r>
          <rPr>
            <sz val="8"/>
            <color rgb="FF000000"/>
            <rFont val="Tahoma"/>
            <family val="2"/>
          </rPr>
          <t xml:space="preserve">Severe Warning  AA009:  Substantial Metric difference from prior year &gt;=100% </t>
        </r>
      </text>
    </comment>
    <comment ref="K463" authorId="1" shapeId="0" xr:uid="{8F3AD687-A0F2-4B02-B6E2-74DFC88409F4}">
      <text>
        <r>
          <rPr>
            <sz val="8"/>
            <color rgb="FF000000"/>
            <rFont val="Tahoma"/>
            <family val="2"/>
          </rPr>
          <t xml:space="preserve">Severe Warning  AA009:  Substantial Metric difference from prior year &gt;=100% </t>
        </r>
      </text>
    </comment>
    <comment ref="O463" authorId="1" shapeId="0" xr:uid="{84222D3C-6C82-4E2F-937B-6B55DA051D9B}">
      <text>
        <r>
          <rPr>
            <sz val="8"/>
            <color rgb="FF000000"/>
            <rFont val="Tahoma"/>
            <family val="2"/>
          </rPr>
          <t xml:space="preserve">Severe Warning  AA009:  Substantial Metric difference from prior year &gt;=100% </t>
        </r>
      </text>
    </comment>
    <comment ref="P463" authorId="1" shapeId="0" xr:uid="{4A7EC58A-0771-41A5-993A-4F7264795B3C}">
      <text>
        <r>
          <rPr>
            <sz val="8"/>
            <color rgb="FF000000"/>
            <rFont val="Tahoma"/>
            <family val="2"/>
          </rPr>
          <t xml:space="preserve">Severe Warning  AA009:  Substantial Metric difference from prior year &gt;=100% </t>
        </r>
      </text>
    </comment>
    <comment ref="Q463" authorId="1" shapeId="0" xr:uid="{2E9B1879-2F96-4D7D-9582-A7EB63D052CD}">
      <text>
        <r>
          <rPr>
            <sz val="8"/>
            <color rgb="FF000000"/>
            <rFont val="Tahoma"/>
            <family val="2"/>
          </rPr>
          <t xml:space="preserve">Severe Warning  AA009:  Substantial Metric difference from prior year &gt;=100% </t>
        </r>
      </text>
    </comment>
    <comment ref="I464" authorId="1" shapeId="0" xr:uid="{A54E396B-EADC-4F54-A9DD-08236BC046AC}">
      <text>
        <r>
          <rPr>
            <sz val="8"/>
            <color rgb="FF000000"/>
            <rFont val="Tahoma"/>
            <family val="2"/>
          </rPr>
          <t xml:space="preserve">Severe Warning  AA009:  Substantial Metric difference from prior year &gt;=100% </t>
        </r>
      </text>
    </comment>
    <comment ref="K464" authorId="1" shapeId="0" xr:uid="{250FEF83-04FC-441B-B0FC-0DAAABE1ACB4}">
      <text>
        <r>
          <rPr>
            <sz val="8"/>
            <color rgb="FF000000"/>
            <rFont val="Tahoma"/>
            <family val="2"/>
          </rPr>
          <t xml:space="preserve">Severe Warning  AA009:  Substantial Metric difference from prior year &gt;=100% </t>
        </r>
      </text>
    </comment>
    <comment ref="O464" authorId="1" shapeId="0" xr:uid="{3A1EF4E8-BCF2-457A-B908-04E7115843A8}">
      <text>
        <r>
          <rPr>
            <sz val="8"/>
            <color rgb="FF000000"/>
            <rFont val="Tahoma"/>
            <family val="2"/>
          </rPr>
          <t xml:space="preserve">Severe Warning  AA009:  Substantial Metric difference from prior year &gt;=100% </t>
        </r>
      </text>
    </comment>
    <comment ref="I465" authorId="1" shapeId="0" xr:uid="{3DA8E696-80E5-421F-A898-CB206BCF9830}">
      <text>
        <r>
          <rPr>
            <sz val="8"/>
            <color rgb="FF000000"/>
            <rFont val="Tahoma"/>
            <family val="2"/>
          </rPr>
          <t xml:space="preserve">Severe Warning  AA009:  Substantial Metric difference from prior year &gt;=100% </t>
        </r>
      </text>
    </comment>
    <comment ref="K465" authorId="1" shapeId="0" xr:uid="{2FFC615A-4981-4DDE-9083-B6C42FD086D5}">
      <text>
        <r>
          <rPr>
            <sz val="8"/>
            <color rgb="FF000000"/>
            <rFont val="Tahoma"/>
            <family val="2"/>
          </rPr>
          <t xml:space="preserve">Severe Warning  AA009:  Substantial Metric difference from prior year &gt;=100% </t>
        </r>
      </text>
    </comment>
    <comment ref="O465" authorId="1" shapeId="0" xr:uid="{449E9D3A-FF8B-4FDF-8FBF-D0FD5D1ACFFF}">
      <text>
        <r>
          <rPr>
            <sz val="8"/>
            <color rgb="FF000000"/>
            <rFont val="Tahoma"/>
            <family val="2"/>
          </rPr>
          <t xml:space="preserve">Severe Warning  AA009:  Substantial Metric difference from prior year &gt;=100% </t>
        </r>
      </text>
    </comment>
    <comment ref="I466" authorId="1" shapeId="0" xr:uid="{CDD9D0C1-B698-47E3-89D4-5B43D8BD5B80}">
      <text>
        <r>
          <rPr>
            <sz val="8"/>
            <color rgb="FF000000"/>
            <rFont val="Tahoma"/>
            <family val="2"/>
          </rPr>
          <t xml:space="preserve">Severe Warning  AA009:  Substantial Metric difference from prior year &gt;=100% </t>
        </r>
      </text>
    </comment>
    <comment ref="K466" authorId="1" shapeId="0" xr:uid="{DA88CA09-BEA4-458A-A403-0A34A954F36D}">
      <text>
        <r>
          <rPr>
            <sz val="8"/>
            <color rgb="FF000000"/>
            <rFont val="Tahoma"/>
            <family val="2"/>
          </rPr>
          <t xml:space="preserve">Severe Warning  AA009:  Substantial Metric difference from prior year &gt;=100% </t>
        </r>
      </text>
    </comment>
    <comment ref="O466" authorId="1" shapeId="0" xr:uid="{C22AF86E-3D4F-4B25-BB75-EDB6C10D54E0}">
      <text>
        <r>
          <rPr>
            <sz val="8"/>
            <color rgb="FF000000"/>
            <rFont val="Tahoma"/>
            <family val="2"/>
          </rPr>
          <t xml:space="preserve">Severe Warning  AA009:  Substantial Metric difference from prior year &gt;=100% </t>
        </r>
      </text>
    </comment>
    <comment ref="I467" authorId="1" shapeId="0" xr:uid="{4188A5E9-5C0B-4912-8825-100CF3E45030}">
      <text>
        <r>
          <rPr>
            <sz val="8"/>
            <color rgb="FF000000"/>
            <rFont val="Tahoma"/>
            <family val="2"/>
          </rPr>
          <t xml:space="preserve">Severe Warning  AA009:  Substantial Metric difference from prior year &gt;=100% </t>
        </r>
      </text>
    </comment>
    <comment ref="K467" authorId="1" shapeId="0" xr:uid="{E12EA0DB-7B67-453A-ABC9-DA0315A261EA}">
      <text>
        <r>
          <rPr>
            <sz val="8"/>
            <color rgb="FF000000"/>
            <rFont val="Tahoma"/>
            <family val="2"/>
          </rPr>
          <t xml:space="preserve">Severe Warning  AA009:  Substantial Metric difference from prior year &gt;=100% </t>
        </r>
      </text>
    </comment>
    <comment ref="O467" authorId="1" shapeId="0" xr:uid="{4088A882-845E-4734-99FC-9D780A600C66}">
      <text>
        <r>
          <rPr>
            <sz val="8"/>
            <color rgb="FF000000"/>
            <rFont val="Tahoma"/>
            <family val="2"/>
          </rPr>
          <t xml:space="preserve">Severe Warning  AA009:  Substantial Metric difference from prior year &gt;=100% </t>
        </r>
      </text>
    </comment>
    <comment ref="I468" authorId="1" shapeId="0" xr:uid="{E42DC35A-57FF-433C-8283-66F4198BD7DF}">
      <text>
        <r>
          <rPr>
            <sz val="8"/>
            <color rgb="FF000000"/>
            <rFont val="Tahoma"/>
            <family val="2"/>
          </rPr>
          <t xml:space="preserve">Severe Warning  AA009:  Substantial Metric difference from prior year &gt;=100% </t>
        </r>
      </text>
    </comment>
    <comment ref="K468" authorId="1" shapeId="0" xr:uid="{7F1D0E5A-1584-442F-BDC7-C896DA93BEB4}">
      <text>
        <r>
          <rPr>
            <sz val="8"/>
            <color rgb="FF000000"/>
            <rFont val="Tahoma"/>
            <family val="2"/>
          </rPr>
          <t xml:space="preserve">Severe Warning  AA009:  Substantial Metric difference from prior year &gt;=100% </t>
        </r>
      </text>
    </comment>
    <comment ref="O468" authorId="1" shapeId="0" xr:uid="{649F70EC-9A97-4D51-87AB-A6A1C95810CB}">
      <text>
        <r>
          <rPr>
            <sz val="8"/>
            <color rgb="FF000000"/>
            <rFont val="Tahoma"/>
            <family val="2"/>
          </rPr>
          <t xml:space="preserve">Severe Warning  AA009:  Substantial Metric difference from prior year &gt;=100% </t>
        </r>
      </text>
    </comment>
    <comment ref="I469" authorId="1" shapeId="0" xr:uid="{8081EF33-2AEE-43FC-AEA5-99C66A299FFA}">
      <text>
        <r>
          <rPr>
            <sz val="8"/>
            <color rgb="FF000000"/>
            <rFont val="Tahoma"/>
            <family val="2"/>
          </rPr>
          <t xml:space="preserve">Severe Warning  AA009:  Substantial Metric difference from prior year &gt;=100% </t>
        </r>
      </text>
    </comment>
    <comment ref="K469" authorId="1" shapeId="0" xr:uid="{568E1B5E-D3B7-4978-872C-66709B0E4B40}">
      <text>
        <r>
          <rPr>
            <sz val="8"/>
            <color rgb="FF000000"/>
            <rFont val="Tahoma"/>
            <family val="2"/>
          </rPr>
          <t xml:space="preserve">Severe Warning  AA009:  Substantial Metric difference from prior year &gt;=100% </t>
        </r>
      </text>
    </comment>
    <comment ref="O469" authorId="1" shapeId="0" xr:uid="{C533C4D2-BDF7-474F-B0A1-2B3AECB38A73}">
      <text>
        <r>
          <rPr>
            <sz val="8"/>
            <color rgb="FF000000"/>
            <rFont val="Tahoma"/>
            <family val="2"/>
          </rPr>
          <t xml:space="preserve">Severe Warning  AA009:  Substantial Metric difference from prior year &gt;=100% </t>
        </r>
      </text>
    </comment>
    <comment ref="P469" authorId="1" shapeId="0" xr:uid="{31757771-8D38-423B-B4CC-C64204F40CAA}">
      <text>
        <r>
          <rPr>
            <sz val="8"/>
            <color rgb="FF000000"/>
            <rFont val="Tahoma"/>
            <family val="2"/>
          </rPr>
          <t xml:space="preserve">Severe Warning  AA009:  Substantial Metric difference from prior year &gt;=100% </t>
        </r>
      </text>
    </comment>
    <comment ref="I470" authorId="1" shapeId="0" xr:uid="{A2605D72-1337-430D-92DB-3B752446BC08}">
      <text>
        <r>
          <rPr>
            <sz val="8"/>
            <color rgb="FF000000"/>
            <rFont val="Tahoma"/>
            <family val="2"/>
          </rPr>
          <t xml:space="preserve">Severe Warning  AA009:  Substantial Metric difference from prior year &gt;=100% </t>
        </r>
      </text>
    </comment>
    <comment ref="K470" authorId="1" shapeId="0" xr:uid="{6D8A3976-B8EB-4B1A-9AB7-54989B1D3CD4}">
      <text>
        <r>
          <rPr>
            <sz val="8"/>
            <color rgb="FF000000"/>
            <rFont val="Tahoma"/>
            <family val="2"/>
          </rPr>
          <t xml:space="preserve">Severe Warning  AA009:  Substantial Metric difference from prior year &gt;=100% </t>
        </r>
      </text>
    </comment>
    <comment ref="O470" authorId="1" shapeId="0" xr:uid="{04AE8C13-B3E0-4C93-A0A1-905635A14D08}">
      <text>
        <r>
          <rPr>
            <sz val="8"/>
            <color rgb="FF000000"/>
            <rFont val="Tahoma"/>
            <family val="2"/>
          </rPr>
          <t xml:space="preserve">Severe Warning  AA009:  Substantial Metric difference from prior year &gt;=100% </t>
        </r>
      </text>
    </comment>
    <comment ref="P470" authorId="1" shapeId="0" xr:uid="{D0F16636-8F3D-4598-93E5-4024EBD90F85}">
      <text>
        <r>
          <rPr>
            <sz val="8"/>
            <color rgb="FF000000"/>
            <rFont val="Tahoma"/>
            <family val="2"/>
          </rPr>
          <t xml:space="preserve">Severe Warning  AA009:  Substantial Metric difference from prior year &gt;=100% </t>
        </r>
      </text>
    </comment>
    <comment ref="I471" authorId="1" shapeId="0" xr:uid="{69A08B75-B1A5-40C4-B7AA-08686F58CA7F}">
      <text>
        <r>
          <rPr>
            <sz val="8"/>
            <color rgb="FF000000"/>
            <rFont val="Tahoma"/>
            <family val="2"/>
          </rPr>
          <t xml:space="preserve">Severe Warning  AA009:  Substantial Metric difference from prior year &gt;=100% </t>
        </r>
      </text>
    </comment>
    <comment ref="K471" authorId="1" shapeId="0" xr:uid="{4470411B-1ADD-4F3A-8812-EE2EA24799FF}">
      <text>
        <r>
          <rPr>
            <sz val="8"/>
            <color rgb="FF000000"/>
            <rFont val="Tahoma"/>
            <family val="2"/>
          </rPr>
          <t xml:space="preserve">Severe Warning  AA009:  Substantial Metric difference from prior year &gt;=100% </t>
        </r>
      </text>
    </comment>
    <comment ref="O471" authorId="1" shapeId="0" xr:uid="{9B1F17D9-6D38-422D-BD2C-74C9F459CFDC}">
      <text>
        <r>
          <rPr>
            <sz val="8"/>
            <color rgb="FF000000"/>
            <rFont val="Tahoma"/>
            <family val="2"/>
          </rPr>
          <t xml:space="preserve">Severe Warning  AA009:  Substantial Metric difference from prior year &gt;=100% </t>
        </r>
      </text>
    </comment>
    <comment ref="I472" authorId="1" shapeId="0" xr:uid="{80468490-2B76-4156-A027-E3E4DF057A3B}">
      <text>
        <r>
          <rPr>
            <sz val="8"/>
            <color rgb="FF000000"/>
            <rFont val="Tahoma"/>
            <family val="2"/>
          </rPr>
          <t xml:space="preserve">Severe Warning  AA009:  Substantial Metric difference from prior year &gt;=100% </t>
        </r>
      </text>
    </comment>
    <comment ref="K472" authorId="1" shapeId="0" xr:uid="{40F91B88-6880-44E1-B8C0-192BD2A4267A}">
      <text>
        <r>
          <rPr>
            <sz val="8"/>
            <color rgb="FF000000"/>
            <rFont val="Tahoma"/>
            <family val="2"/>
          </rPr>
          <t xml:space="preserve">Severe Warning  AA009:  Substantial Metric difference from prior year &gt;=100% </t>
        </r>
      </text>
    </comment>
    <comment ref="O472" authorId="1" shapeId="0" xr:uid="{11C7955E-22B6-40C4-A40D-E553DA428E8F}">
      <text>
        <r>
          <rPr>
            <sz val="8"/>
            <color rgb="FF000000"/>
            <rFont val="Tahoma"/>
            <family val="2"/>
          </rPr>
          <t xml:space="preserve">Severe Warning  AA009:  Substantial Metric difference from prior year &gt;=100% </t>
        </r>
      </text>
    </comment>
    <comment ref="I473" authorId="1" shapeId="0" xr:uid="{8CBF6D4C-4235-41B6-9C8C-F7E16B73AF38}">
      <text>
        <r>
          <rPr>
            <sz val="8"/>
            <color rgb="FF000000"/>
            <rFont val="Tahoma"/>
            <family val="2"/>
          </rPr>
          <t xml:space="preserve">Severe Warning  AA009:  Substantial Metric difference from prior year &gt;=100% </t>
        </r>
      </text>
    </comment>
    <comment ref="K473" authorId="1" shapeId="0" xr:uid="{243600BF-B172-48DA-847A-776D4B084638}">
      <text>
        <r>
          <rPr>
            <sz val="8"/>
            <color rgb="FF000000"/>
            <rFont val="Tahoma"/>
            <family val="2"/>
          </rPr>
          <t xml:space="preserve">Severe Warning  AA009:  Substantial Metric difference from prior year &gt;=100% </t>
        </r>
      </text>
    </comment>
    <comment ref="O473" authorId="1" shapeId="0" xr:uid="{9660D3D4-93CC-4D9A-B96F-CB655E8DED56}">
      <text>
        <r>
          <rPr>
            <sz val="8"/>
            <color rgb="FF000000"/>
            <rFont val="Tahoma"/>
            <family val="2"/>
          </rPr>
          <t xml:space="preserve">Severe Warning  AA009:  Substantial Metric difference from prior year &gt;=100% </t>
        </r>
      </text>
    </comment>
    <comment ref="P473" authorId="1" shapeId="0" xr:uid="{C4C427D8-52E1-4A3C-BC28-E38DB2F87BBC}">
      <text>
        <r>
          <rPr>
            <sz val="8"/>
            <color rgb="FF000000"/>
            <rFont val="Tahoma"/>
            <family val="2"/>
          </rPr>
          <t xml:space="preserve">Severe Warning  AA009:  Substantial Metric difference from prior year &gt;=100% </t>
        </r>
      </text>
    </comment>
    <comment ref="I474" authorId="1" shapeId="0" xr:uid="{478EBF81-12BD-4DFA-8AEB-E660A5A5B377}">
      <text>
        <r>
          <rPr>
            <sz val="8"/>
            <color rgb="FF000000"/>
            <rFont val="Tahoma"/>
            <family val="2"/>
          </rPr>
          <t xml:space="preserve">Severe Warning  AA009:  Substantial Metric difference from prior year &gt;=100% </t>
        </r>
      </text>
    </comment>
    <comment ref="K474" authorId="1" shapeId="0" xr:uid="{199EB0A5-93D1-4AA3-BF3B-FC0A50657DB9}">
      <text>
        <r>
          <rPr>
            <sz val="8"/>
            <color rgb="FF000000"/>
            <rFont val="Tahoma"/>
            <family val="2"/>
          </rPr>
          <t xml:space="preserve">Severe Warning  AA009:  Substantial Metric difference from prior year &gt;=100% </t>
        </r>
      </text>
    </comment>
    <comment ref="O474" authorId="1" shapeId="0" xr:uid="{F4AECAD7-7348-4B4A-B316-13EE33763586}">
      <text>
        <r>
          <rPr>
            <sz val="8"/>
            <color rgb="FF000000"/>
            <rFont val="Tahoma"/>
            <family val="2"/>
          </rPr>
          <t xml:space="preserve">Severe Warning  AA009:  Substantial Metric difference from prior year &gt;=100% </t>
        </r>
      </text>
    </comment>
    <comment ref="I475" authorId="1" shapeId="0" xr:uid="{61665179-7F54-409F-AA7F-1BD0C6351999}">
      <text>
        <r>
          <rPr>
            <sz val="8"/>
            <color rgb="FF000000"/>
            <rFont val="Tahoma"/>
            <family val="2"/>
          </rPr>
          <t xml:space="preserve">Severe Warning  AA009:  Substantial Metric difference from prior year &gt;=100% </t>
        </r>
      </text>
    </comment>
    <comment ref="K475" authorId="1" shapeId="0" xr:uid="{70AB0598-1162-4156-A49F-4D507D82BD5F}">
      <text>
        <r>
          <rPr>
            <sz val="8"/>
            <color rgb="FF000000"/>
            <rFont val="Tahoma"/>
            <family val="2"/>
          </rPr>
          <t xml:space="preserve">Severe Warning  AA009:  Substantial Metric difference from prior year &gt;=100% </t>
        </r>
      </text>
    </comment>
    <comment ref="O475" authorId="1" shapeId="0" xr:uid="{7D3C35BC-4122-4F4C-AE10-E22DB77390AA}">
      <text>
        <r>
          <rPr>
            <sz val="8"/>
            <color rgb="FF000000"/>
            <rFont val="Tahoma"/>
            <family val="2"/>
          </rPr>
          <t xml:space="preserve">Severe Warning  AA009:  Substantial Metric difference from prior year &gt;=100% </t>
        </r>
      </text>
    </comment>
    <comment ref="P475" authorId="1" shapeId="0" xr:uid="{1DB24BDD-0B80-4D2A-9FBC-F14B7106B113}">
      <text>
        <r>
          <rPr>
            <sz val="8"/>
            <color rgb="FF000000"/>
            <rFont val="Tahoma"/>
            <family val="2"/>
          </rPr>
          <t xml:space="preserve">Severe Warning  AA009:  Substantial Metric difference from prior year &gt;=100% </t>
        </r>
      </text>
    </comment>
    <comment ref="I476" authorId="1" shapeId="0" xr:uid="{C6D04906-EF67-4777-B8C3-F2071AA6EAC9}">
      <text>
        <r>
          <rPr>
            <sz val="8"/>
            <color rgb="FF000000"/>
            <rFont val="Tahoma"/>
            <family val="2"/>
          </rPr>
          <t xml:space="preserve">Severe Warning  AA009:  Substantial Metric difference from prior year &gt;=100% </t>
        </r>
      </text>
    </comment>
    <comment ref="K476" authorId="1" shapeId="0" xr:uid="{91EA4E50-E147-4004-8C1D-CFA25D0870A6}">
      <text>
        <r>
          <rPr>
            <sz val="8"/>
            <color rgb="FF000000"/>
            <rFont val="Tahoma"/>
            <family val="2"/>
          </rPr>
          <t xml:space="preserve">Severe Warning  AA009:  Substantial Metric difference from prior year &gt;=100% </t>
        </r>
      </text>
    </comment>
    <comment ref="O476" authorId="1" shapeId="0" xr:uid="{D971E040-8CE5-4878-854D-E5A6511F20FA}">
      <text>
        <r>
          <rPr>
            <sz val="8"/>
            <color rgb="FF000000"/>
            <rFont val="Tahoma"/>
            <family val="2"/>
          </rPr>
          <t xml:space="preserve">Severe Warning  AA009:  Substantial Metric difference from prior year &gt;=100% </t>
        </r>
      </text>
    </comment>
    <comment ref="P476" authorId="1" shapeId="0" xr:uid="{E68DC01F-3E2D-45DA-A1CB-115529E6D7D0}">
      <text>
        <r>
          <rPr>
            <sz val="8"/>
            <color rgb="FF000000"/>
            <rFont val="Tahoma"/>
            <family val="2"/>
          </rPr>
          <t xml:space="preserve">Severe Warning  AA009:  Substantial Metric difference from prior year &gt;=100% </t>
        </r>
      </text>
    </comment>
    <comment ref="Q476" authorId="1" shapeId="0" xr:uid="{48B55892-7E7E-422C-A2CF-C5C68821F18C}">
      <text>
        <r>
          <rPr>
            <sz val="8"/>
            <color rgb="FF000000"/>
            <rFont val="Tahoma"/>
            <family val="2"/>
          </rPr>
          <t xml:space="preserve">Severe Warning  AA009:  Substantial Metric difference from prior year &gt;=100% </t>
        </r>
      </text>
    </comment>
    <comment ref="I477" authorId="1" shapeId="0" xr:uid="{85A4CD56-D299-4AC6-9913-D113CCC32C13}">
      <text>
        <r>
          <rPr>
            <sz val="8"/>
            <color rgb="FF000000"/>
            <rFont val="Tahoma"/>
            <family val="2"/>
          </rPr>
          <t xml:space="preserve">Severe Warning  AA009:  Substantial Metric difference from prior year &gt;=100% </t>
        </r>
      </text>
    </comment>
    <comment ref="K477" authorId="1" shapeId="0" xr:uid="{4A5CE5CF-9DCA-4E89-A7F9-0D167849EB5F}">
      <text>
        <r>
          <rPr>
            <sz val="8"/>
            <color rgb="FF000000"/>
            <rFont val="Tahoma"/>
            <family val="2"/>
          </rPr>
          <t xml:space="preserve">Severe Warning  AA009:  Substantial Metric difference from prior year &gt;=100% </t>
        </r>
      </text>
    </comment>
    <comment ref="O477" authorId="1" shapeId="0" xr:uid="{26A73AA2-FF0A-475C-82AD-9DFAC45CAF54}">
      <text>
        <r>
          <rPr>
            <sz val="8"/>
            <color rgb="FF000000"/>
            <rFont val="Tahoma"/>
            <family val="2"/>
          </rPr>
          <t xml:space="preserve">Severe Warning  AA009:  Substantial Metric difference from prior year &gt;=100% </t>
        </r>
      </text>
    </comment>
    <comment ref="I478" authorId="1" shapeId="0" xr:uid="{4E63AE63-3302-4195-8905-FC5C2777F443}">
      <text>
        <r>
          <rPr>
            <sz val="8"/>
            <color rgb="FF000000"/>
            <rFont val="Tahoma"/>
            <family val="2"/>
          </rPr>
          <t xml:space="preserve">Severe Warning  AA009:  Substantial Metric difference from prior year &gt;=100% </t>
        </r>
      </text>
    </comment>
    <comment ref="K478" authorId="1" shapeId="0" xr:uid="{0A289CCC-A22A-4965-A6F0-C1FC82E88EF2}">
      <text>
        <r>
          <rPr>
            <sz val="8"/>
            <color rgb="FF000000"/>
            <rFont val="Tahoma"/>
            <family val="2"/>
          </rPr>
          <t xml:space="preserve">Severe Warning  AA009:  Substantial Metric difference from prior year &gt;=100% </t>
        </r>
      </text>
    </comment>
    <comment ref="O478" authorId="1" shapeId="0" xr:uid="{4D5FDEFD-2783-4972-AB6F-331853061D0D}">
      <text>
        <r>
          <rPr>
            <sz val="8"/>
            <color rgb="FF000000"/>
            <rFont val="Tahoma"/>
            <family val="2"/>
          </rPr>
          <t xml:space="preserve">Severe Warning  AA009:  Substantial Metric difference from prior year &gt;=100% </t>
        </r>
      </text>
    </comment>
    <comment ref="P478" authorId="1" shapeId="0" xr:uid="{FDD09B02-3C93-4E22-BA3D-F4FFF18DEAA6}">
      <text>
        <r>
          <rPr>
            <sz val="8"/>
            <color rgb="FF000000"/>
            <rFont val="Tahoma"/>
            <family val="2"/>
          </rPr>
          <t xml:space="preserve">Severe Warning  AA009:  Substantial Metric difference from prior year &gt;=100% </t>
        </r>
      </text>
    </comment>
    <comment ref="I479" authorId="1" shapeId="0" xr:uid="{EBBEF9DE-0181-430D-AFB4-8BCF0A94C0F0}">
      <text>
        <r>
          <rPr>
            <sz val="8"/>
            <color rgb="FF000000"/>
            <rFont val="Tahoma"/>
            <family val="2"/>
          </rPr>
          <t xml:space="preserve">Severe Warning  AA009:  Substantial Metric difference from prior year &gt;=100% </t>
        </r>
      </text>
    </comment>
    <comment ref="K479" authorId="1" shapeId="0" xr:uid="{15023555-F109-4548-B6FC-132BB4E954F1}">
      <text>
        <r>
          <rPr>
            <sz val="8"/>
            <color rgb="FF000000"/>
            <rFont val="Tahoma"/>
            <family val="2"/>
          </rPr>
          <t xml:space="preserve">Severe Warning  AA009:  Substantial Metric difference from prior year &gt;=100% </t>
        </r>
      </text>
    </comment>
    <comment ref="O479" authorId="1" shapeId="0" xr:uid="{9B068A3C-6113-4356-B30B-8F1D7BCE3DDE}">
      <text>
        <r>
          <rPr>
            <sz val="8"/>
            <color rgb="FF000000"/>
            <rFont val="Tahoma"/>
            <family val="2"/>
          </rPr>
          <t xml:space="preserve">Severe Warning  AA009:  Substantial Metric difference from prior year &gt;=100% </t>
        </r>
      </text>
    </comment>
    <comment ref="P479" authorId="1" shapeId="0" xr:uid="{632C4060-CDE2-4264-9256-4AEB573D61D4}">
      <text>
        <r>
          <rPr>
            <sz val="8"/>
            <color rgb="FF000000"/>
            <rFont val="Tahoma"/>
            <family val="2"/>
          </rPr>
          <t xml:space="preserve">Severe Warning  AA009:  Substantial Metric difference from prior year &gt;=100% </t>
        </r>
      </text>
    </comment>
    <comment ref="Q479" authorId="1" shapeId="0" xr:uid="{A74D99AA-E35F-4427-BEFC-A3AF755C8884}">
      <text>
        <r>
          <rPr>
            <sz val="8"/>
            <color rgb="FF000000"/>
            <rFont val="Tahoma"/>
            <family val="2"/>
          </rPr>
          <t xml:space="preserve">Severe Warning  AA009:  Substantial Metric difference from prior year &gt;=100% </t>
        </r>
      </text>
    </comment>
    <comment ref="I480" authorId="1" shapeId="0" xr:uid="{0866B607-C9C5-429E-9C36-93A071065EE8}">
      <text>
        <r>
          <rPr>
            <sz val="8"/>
            <color rgb="FF000000"/>
            <rFont val="Tahoma"/>
            <family val="2"/>
          </rPr>
          <t xml:space="preserve">Severe Warning  AA009:  Substantial Metric difference from prior year &gt;=100% </t>
        </r>
      </text>
    </comment>
    <comment ref="K480" authorId="1" shapeId="0" xr:uid="{810511D2-DC51-4028-98E8-B83D9970E2A9}">
      <text>
        <r>
          <rPr>
            <sz val="8"/>
            <color rgb="FF000000"/>
            <rFont val="Tahoma"/>
            <family val="2"/>
          </rPr>
          <t xml:space="preserve">Severe Warning  AA009:  Substantial Metric difference from prior year &gt;=100% </t>
        </r>
      </text>
    </comment>
    <comment ref="O480" authorId="1" shapeId="0" xr:uid="{EEF7552D-6E52-4606-ACE3-3823B0D499CD}">
      <text>
        <r>
          <rPr>
            <sz val="8"/>
            <color rgb="FF000000"/>
            <rFont val="Tahoma"/>
            <family val="2"/>
          </rPr>
          <t xml:space="preserve">Severe Warning  AA009:  Substantial Metric difference from prior year &gt;=100% </t>
        </r>
      </text>
    </comment>
    <comment ref="I481" authorId="1" shapeId="0" xr:uid="{FDBB057D-832C-4C0D-A8A5-91A16A29DAC6}">
      <text>
        <r>
          <rPr>
            <sz val="8"/>
            <color rgb="FF000000"/>
            <rFont val="Tahoma"/>
            <family val="2"/>
          </rPr>
          <t xml:space="preserve">Severe Warning  AA009:  Substantial Metric difference from prior year &gt;=100% </t>
        </r>
      </text>
    </comment>
    <comment ref="O481" authorId="1" shapeId="0" xr:uid="{0079AD90-107D-432A-9D00-0E1452AE2C3A}">
      <text>
        <r>
          <rPr>
            <sz val="8"/>
            <color rgb="FF000000"/>
            <rFont val="Tahoma"/>
            <family val="2"/>
          </rPr>
          <t xml:space="preserve">Severe Warning  AA009:  Substantial Metric difference from prior year &gt;=100% </t>
        </r>
      </text>
    </comment>
    <comment ref="P481" authorId="1" shapeId="0" xr:uid="{1D6BBE0E-98C7-408F-9F29-3494FCB7FC87}">
      <text>
        <r>
          <rPr>
            <sz val="8"/>
            <color rgb="FF000000"/>
            <rFont val="Tahoma"/>
            <family val="2"/>
          </rPr>
          <t xml:space="preserve">Severe Warning  AA009:  Substantial Metric difference from prior year &gt;=100% </t>
        </r>
      </text>
    </comment>
    <comment ref="Q481" authorId="1" shapeId="0" xr:uid="{3D3C31C6-FCF3-439E-A713-03EDBD32E98F}">
      <text>
        <r>
          <rPr>
            <sz val="8"/>
            <color rgb="FF000000"/>
            <rFont val="Tahoma"/>
            <family val="2"/>
          </rPr>
          <t xml:space="preserve">Severe Warning  AA009:  Substantial Metric difference from prior year &gt;=100% </t>
        </r>
      </text>
    </comment>
    <comment ref="I482" authorId="1" shapeId="0" xr:uid="{A215E50D-C0DC-4DA3-9135-F9BEED08A1F1}">
      <text>
        <r>
          <rPr>
            <sz val="8"/>
            <color rgb="FF000000"/>
            <rFont val="Tahoma"/>
            <family val="2"/>
          </rPr>
          <t xml:space="preserve">Severe Warning  AA009:  Substantial Metric difference from prior year &gt;=100% </t>
        </r>
      </text>
    </comment>
    <comment ref="K482" authorId="1" shapeId="0" xr:uid="{8B6C735C-3FE7-40E0-8958-27A0DDFE62BB}">
      <text>
        <r>
          <rPr>
            <sz val="8"/>
            <color rgb="FF000000"/>
            <rFont val="Tahoma"/>
            <family val="2"/>
          </rPr>
          <t xml:space="preserve">Severe Warning  AA009:  Substantial Metric difference from prior year &gt;=100% </t>
        </r>
      </text>
    </comment>
    <comment ref="O482" authorId="1" shapeId="0" xr:uid="{D8B97453-5A13-4BB0-A817-895F6772808A}">
      <text>
        <r>
          <rPr>
            <sz val="8"/>
            <color rgb="FF000000"/>
            <rFont val="Tahoma"/>
            <family val="2"/>
          </rPr>
          <t xml:space="preserve">Severe Warning  AA009:  Substantial Metric difference from prior year &gt;=100% </t>
        </r>
      </text>
    </comment>
    <comment ref="P482" authorId="1" shapeId="0" xr:uid="{5EBA3634-DB71-46AB-82BB-787DB2A617B7}">
      <text>
        <r>
          <rPr>
            <sz val="8"/>
            <color rgb="FF000000"/>
            <rFont val="Tahoma"/>
            <family val="2"/>
          </rPr>
          <t xml:space="preserve">Severe Warning  AA009:  Substantial Metric difference from prior year &gt;=100% </t>
        </r>
      </text>
    </comment>
    <comment ref="I483" authorId="1" shapeId="0" xr:uid="{BD240440-B16C-4970-AB95-9B9BCAF5D83E}">
      <text>
        <r>
          <rPr>
            <sz val="8"/>
            <color rgb="FF000000"/>
            <rFont val="Tahoma"/>
            <family val="2"/>
          </rPr>
          <t xml:space="preserve">Severe Warning  AA009:  Substantial Metric difference from prior year &gt;=100% </t>
        </r>
      </text>
    </comment>
    <comment ref="K483" authorId="1" shapeId="0" xr:uid="{EEAF47EB-CEF3-4D67-B84A-0240CA64684C}">
      <text>
        <r>
          <rPr>
            <sz val="8"/>
            <color rgb="FF000000"/>
            <rFont val="Tahoma"/>
            <family val="2"/>
          </rPr>
          <t xml:space="preserve">Severe Warning  AA009:  Substantial Metric difference from prior year &gt;=100% </t>
        </r>
      </text>
    </comment>
    <comment ref="O483" authorId="1" shapeId="0" xr:uid="{4FCB5AA8-B64E-4062-B647-6EBABAF1CFD9}">
      <text>
        <r>
          <rPr>
            <sz val="8"/>
            <color rgb="FF000000"/>
            <rFont val="Tahoma"/>
            <family val="2"/>
          </rPr>
          <t xml:space="preserve">Severe Warning  AA009:  Substantial Metric difference from prior year &gt;=100% </t>
        </r>
      </text>
    </comment>
    <comment ref="P483" authorId="1" shapeId="0" xr:uid="{3A49DDCA-33D7-41A8-B594-A82E00EA8F92}">
      <text>
        <r>
          <rPr>
            <sz val="8"/>
            <color rgb="FF000000"/>
            <rFont val="Tahoma"/>
            <family val="2"/>
          </rPr>
          <t xml:space="preserve">Severe Warning  AA009:  Substantial Metric difference from prior year &gt;=100% </t>
        </r>
      </text>
    </comment>
    <comment ref="I484" authorId="1" shapeId="0" xr:uid="{DDD8D504-77A8-43C9-AA49-A24372803A2B}">
      <text>
        <r>
          <rPr>
            <sz val="8"/>
            <color rgb="FF000000"/>
            <rFont val="Tahoma"/>
            <family val="2"/>
          </rPr>
          <t xml:space="preserve">Severe Warning  AA009:  Substantial Metric difference from prior year &gt;=100% </t>
        </r>
      </text>
    </comment>
    <comment ref="K484" authorId="1" shapeId="0" xr:uid="{F37BB6A5-80B5-44C1-8041-38C09AC9C678}">
      <text>
        <r>
          <rPr>
            <sz val="8"/>
            <color rgb="FF000000"/>
            <rFont val="Tahoma"/>
            <family val="2"/>
          </rPr>
          <t xml:space="preserve">Severe Warning  AA009:  Substantial Metric difference from prior year &gt;=100% </t>
        </r>
      </text>
    </comment>
    <comment ref="O484" authorId="1" shapeId="0" xr:uid="{749D7A4C-E4C9-4D3B-9D3A-5A8BC7928171}">
      <text>
        <r>
          <rPr>
            <sz val="8"/>
            <color rgb="FF000000"/>
            <rFont val="Tahoma"/>
            <family val="2"/>
          </rPr>
          <t xml:space="preserve">Severe Warning  AA009:  Substantial Metric difference from prior year &gt;=100% </t>
        </r>
      </text>
    </comment>
    <comment ref="I485" authorId="1" shapeId="0" xr:uid="{D44B72F5-FC8A-4CFA-A4EA-95E9A6F5E0F0}">
      <text>
        <r>
          <rPr>
            <sz val="8"/>
            <color rgb="FF000000"/>
            <rFont val="Tahoma"/>
            <family val="2"/>
          </rPr>
          <t xml:space="preserve">Severe Warning  AA009:  Substantial Metric difference from prior year &gt;=100% </t>
        </r>
      </text>
    </comment>
    <comment ref="K485" authorId="1" shapeId="0" xr:uid="{F8297946-8354-4F08-AE22-706CDF8BEFB1}">
      <text>
        <r>
          <rPr>
            <sz val="8"/>
            <color rgb="FF000000"/>
            <rFont val="Tahoma"/>
            <family val="2"/>
          </rPr>
          <t xml:space="preserve">Severe Warning  AA009:  Substantial Metric difference from prior year &gt;=100% </t>
        </r>
      </text>
    </comment>
    <comment ref="O485" authorId="1" shapeId="0" xr:uid="{F62C5AD0-057C-4A62-B18A-1ED987DBE3AD}">
      <text>
        <r>
          <rPr>
            <sz val="8"/>
            <color rgb="FF000000"/>
            <rFont val="Tahoma"/>
            <family val="2"/>
          </rPr>
          <t xml:space="preserve">Severe Warning  AA009:  Substantial Metric difference from prior year &gt;=100% </t>
        </r>
      </text>
    </comment>
    <comment ref="P485" authorId="1" shapeId="0" xr:uid="{68A57A9D-CDD8-45B9-A5BD-AFE394DDB58F}">
      <text>
        <r>
          <rPr>
            <sz val="8"/>
            <color rgb="FF000000"/>
            <rFont val="Tahoma"/>
            <family val="2"/>
          </rPr>
          <t xml:space="preserve">Severe Warning  AA009:  Substantial Metric difference from prior year &gt;=100% </t>
        </r>
      </text>
    </comment>
    <comment ref="I486" authorId="1" shapeId="0" xr:uid="{142A24E5-0DA9-4C9E-AB81-116ABE546236}">
      <text>
        <r>
          <rPr>
            <sz val="8"/>
            <color rgb="FF000000"/>
            <rFont val="Tahoma"/>
            <family val="2"/>
          </rPr>
          <t xml:space="preserve">Severe Warning  AA009:  Substantial Metric difference from prior year &gt;=100% </t>
        </r>
      </text>
    </comment>
    <comment ref="K486" authorId="1" shapeId="0" xr:uid="{B606D2D2-E0F0-4868-8C35-5C8204ECF010}">
      <text>
        <r>
          <rPr>
            <sz val="8"/>
            <color rgb="FF000000"/>
            <rFont val="Tahoma"/>
            <family val="2"/>
          </rPr>
          <t xml:space="preserve">Severe Warning  AA009:  Substantial Metric difference from prior year &gt;=100% </t>
        </r>
      </text>
    </comment>
    <comment ref="O486" authorId="1" shapeId="0" xr:uid="{84E328D9-6813-4D12-B255-D939D035EDCF}">
      <text>
        <r>
          <rPr>
            <sz val="8"/>
            <color rgb="FF000000"/>
            <rFont val="Tahoma"/>
            <family val="2"/>
          </rPr>
          <t xml:space="preserve">Severe Warning  AA009:  Substantial Metric difference from prior year &gt;=100% </t>
        </r>
      </text>
    </comment>
    <comment ref="I487" authorId="1" shapeId="0" xr:uid="{0680109F-52BB-4D05-B682-6F5EE2E947FC}">
      <text>
        <r>
          <rPr>
            <sz val="8"/>
            <color rgb="FF000000"/>
            <rFont val="Tahoma"/>
            <family val="2"/>
          </rPr>
          <t xml:space="preserve">Severe Warning  AA009:  Substantial Metric difference from prior year &gt;=100% </t>
        </r>
      </text>
    </comment>
    <comment ref="K487" authorId="1" shapeId="0" xr:uid="{33FF1FDF-A0DF-4E85-8E8D-1A21CB6B7226}">
      <text>
        <r>
          <rPr>
            <sz val="8"/>
            <color rgb="FF000000"/>
            <rFont val="Tahoma"/>
            <family val="2"/>
          </rPr>
          <t xml:space="preserve">Severe Warning  AA009:  Substantial Metric difference from prior year &gt;=100% </t>
        </r>
      </text>
    </comment>
    <comment ref="O487" authorId="1" shapeId="0" xr:uid="{5B84822E-5AE2-4009-9076-12019227DB85}">
      <text>
        <r>
          <rPr>
            <sz val="8"/>
            <color rgb="FF000000"/>
            <rFont val="Tahoma"/>
            <family val="2"/>
          </rPr>
          <t xml:space="preserve">Severe Warning  AA009:  Substantial Metric difference from prior year &gt;=100% </t>
        </r>
      </text>
    </comment>
    <comment ref="I488" authorId="1" shapeId="0" xr:uid="{F1C1277E-DE81-4292-9E51-9001ABB0039E}">
      <text>
        <r>
          <rPr>
            <sz val="8"/>
            <color rgb="FF000000"/>
            <rFont val="Tahoma"/>
            <family val="2"/>
          </rPr>
          <t xml:space="preserve">Severe Warning  AA009:  Substantial Metric difference from prior year &gt;=100% </t>
        </r>
      </text>
    </comment>
    <comment ref="K488" authorId="1" shapeId="0" xr:uid="{D7482A10-C5D1-4D78-ABB1-92E9E4906C42}">
      <text>
        <r>
          <rPr>
            <sz val="8"/>
            <color rgb="FF000000"/>
            <rFont val="Tahoma"/>
            <family val="2"/>
          </rPr>
          <t xml:space="preserve">Severe Warning  AA009:  Substantial Metric difference from prior year &gt;=100% </t>
        </r>
      </text>
    </comment>
    <comment ref="O488" authorId="1" shapeId="0" xr:uid="{E3775C96-8E38-4FEE-9D92-54F8D964BFC3}">
      <text>
        <r>
          <rPr>
            <sz val="8"/>
            <color rgb="FF000000"/>
            <rFont val="Tahoma"/>
            <family val="2"/>
          </rPr>
          <t xml:space="preserve">Severe Warning  AA009:  Substantial Metric difference from prior year &gt;=100% </t>
        </r>
      </text>
    </comment>
    <comment ref="I489" authorId="1" shapeId="0" xr:uid="{D3128E61-3272-4B9C-B039-0973B2ECEA4E}">
      <text>
        <r>
          <rPr>
            <sz val="8"/>
            <color rgb="FF000000"/>
            <rFont val="Tahoma"/>
            <family val="2"/>
          </rPr>
          <t xml:space="preserve">Severe Warning  AA009:  Substantial Metric difference from prior year &gt;=100% </t>
        </r>
      </text>
    </comment>
    <comment ref="K489" authorId="1" shapeId="0" xr:uid="{AA1EDC1C-974C-4CDD-8B00-3A4C2D83C237}">
      <text>
        <r>
          <rPr>
            <sz val="8"/>
            <color rgb="FF000000"/>
            <rFont val="Tahoma"/>
            <family val="2"/>
          </rPr>
          <t xml:space="preserve">Severe Warning  AA009:  Substantial Metric difference from prior year &gt;=100% </t>
        </r>
      </text>
    </comment>
    <comment ref="O489" authorId="1" shapeId="0" xr:uid="{CF04B2AF-A6D0-44E9-97F2-993384151326}">
      <text>
        <r>
          <rPr>
            <sz val="8"/>
            <color rgb="FF000000"/>
            <rFont val="Tahoma"/>
            <family val="2"/>
          </rPr>
          <t xml:space="preserve">Severe Warning  AA009:  Substantial Metric difference from prior year &gt;=100% </t>
        </r>
      </text>
    </comment>
    <comment ref="P489" authorId="1" shapeId="0" xr:uid="{E8BB81F7-4236-4FCD-A628-F30CC1DF7732}">
      <text>
        <r>
          <rPr>
            <sz val="8"/>
            <color rgb="FF000000"/>
            <rFont val="Tahoma"/>
            <family val="2"/>
          </rPr>
          <t xml:space="preserve">Severe Warning  AA009:  Substantial Metric difference from prior year &gt;=100% </t>
        </r>
      </text>
    </comment>
    <comment ref="I490" authorId="1" shapeId="0" xr:uid="{A50E280D-8B4F-4B8E-8042-AB0DA2FB50D3}">
      <text>
        <r>
          <rPr>
            <sz val="8"/>
            <color rgb="FF000000"/>
            <rFont val="Tahoma"/>
            <family val="2"/>
          </rPr>
          <t xml:space="preserve">Severe Warning  AA009:  Substantial Metric difference from prior year &gt;=100% </t>
        </r>
      </text>
    </comment>
    <comment ref="K490" authorId="1" shapeId="0" xr:uid="{F6336065-3132-427C-BFA2-1B941B7FA152}">
      <text>
        <r>
          <rPr>
            <sz val="8"/>
            <color rgb="FF000000"/>
            <rFont val="Tahoma"/>
            <family val="2"/>
          </rPr>
          <t xml:space="preserve">Severe Warning  AA009:  Substantial Metric difference from prior year &gt;=100% </t>
        </r>
      </text>
    </comment>
    <comment ref="O490" authorId="1" shapeId="0" xr:uid="{1F1A39ED-9EA1-42F8-9D93-6786742AD728}">
      <text>
        <r>
          <rPr>
            <sz val="8"/>
            <color rgb="FF000000"/>
            <rFont val="Tahoma"/>
            <family val="2"/>
          </rPr>
          <t xml:space="preserve">Severe Warning  AA009:  Substantial Metric difference from prior year &gt;=100% </t>
        </r>
      </text>
    </comment>
    <comment ref="P490" authorId="1" shapeId="0" xr:uid="{2F9D3943-9ACD-4729-9310-56FF89894632}">
      <text>
        <r>
          <rPr>
            <sz val="8"/>
            <color rgb="FF000000"/>
            <rFont val="Tahoma"/>
            <family val="2"/>
          </rPr>
          <t xml:space="preserve">Severe Warning  AA009:  Substantial Metric difference from prior year &gt;=100% </t>
        </r>
      </text>
    </comment>
    <comment ref="I491" authorId="1" shapeId="0" xr:uid="{28A2BA91-8E53-4AF8-AA18-BFE53D0D510A}">
      <text>
        <r>
          <rPr>
            <sz val="8"/>
            <color rgb="FF000000"/>
            <rFont val="Tahoma"/>
            <family val="2"/>
          </rPr>
          <t xml:space="preserve">Severe Warning  AA009:  Substantial Metric difference from prior year &gt;=100% </t>
        </r>
      </text>
    </comment>
    <comment ref="K491" authorId="1" shapeId="0" xr:uid="{A5D1A648-7CAF-43FF-A3C9-07E55E1B503A}">
      <text>
        <r>
          <rPr>
            <sz val="8"/>
            <color rgb="FF000000"/>
            <rFont val="Tahoma"/>
            <family val="2"/>
          </rPr>
          <t xml:space="preserve">Severe Warning  AA009:  Substantial Metric difference from prior year &gt;=100% </t>
        </r>
      </text>
    </comment>
    <comment ref="O491" authorId="1" shapeId="0" xr:uid="{640FB765-7994-4B3A-B46F-D9675571A04E}">
      <text>
        <r>
          <rPr>
            <sz val="8"/>
            <color rgb="FF000000"/>
            <rFont val="Tahoma"/>
            <family val="2"/>
          </rPr>
          <t xml:space="preserve">Severe Warning  AA009:  Substantial Metric difference from prior year &gt;=100% </t>
        </r>
      </text>
    </comment>
    <comment ref="I492" authorId="1" shapeId="0" xr:uid="{DE2732F5-AFF1-415F-A86D-DAB94C156378}">
      <text>
        <r>
          <rPr>
            <sz val="8"/>
            <color rgb="FF000000"/>
            <rFont val="Tahoma"/>
            <family val="2"/>
          </rPr>
          <t xml:space="preserve">Severe Warning  AA009:  Substantial Metric difference from prior year &gt;=100% </t>
        </r>
      </text>
    </comment>
    <comment ref="K492" authorId="1" shapeId="0" xr:uid="{172CE19C-A91D-4889-99AB-3F630A5AFE58}">
      <text>
        <r>
          <rPr>
            <sz val="8"/>
            <color rgb="FF000000"/>
            <rFont val="Tahoma"/>
            <family val="2"/>
          </rPr>
          <t xml:space="preserve">Severe Warning  AA009:  Substantial Metric difference from prior year &gt;=100% </t>
        </r>
      </text>
    </comment>
    <comment ref="O492" authorId="1" shapeId="0" xr:uid="{4FA2C4EA-5DB4-4862-9D16-DBF3126CAC56}">
      <text>
        <r>
          <rPr>
            <sz val="8"/>
            <color rgb="FF000000"/>
            <rFont val="Tahoma"/>
            <family val="2"/>
          </rPr>
          <t xml:space="preserve">Severe Warning  AA009:  Substantial Metric difference from prior year &gt;=100% </t>
        </r>
      </text>
    </comment>
    <comment ref="Q492" authorId="1" shapeId="0" xr:uid="{7650C278-271B-4444-B80A-60F8EB2ABBB8}">
      <text>
        <r>
          <rPr>
            <sz val="8"/>
            <color rgb="FF000000"/>
            <rFont val="Tahoma"/>
            <family val="2"/>
          </rPr>
          <t xml:space="preserve">Severe Warning  AA009:  Substantial Metric difference from prior year &gt;=100% </t>
        </r>
      </text>
    </comment>
    <comment ref="I493" authorId="1" shapeId="0" xr:uid="{A969A4BC-5F42-4863-95BC-4F95AEDB634D}">
      <text>
        <r>
          <rPr>
            <sz val="8"/>
            <color rgb="FF000000"/>
            <rFont val="Tahoma"/>
            <family val="2"/>
          </rPr>
          <t xml:space="preserve">Severe Warning  AA009:  Substantial Metric difference from prior year &gt;=100% </t>
        </r>
      </text>
    </comment>
    <comment ref="K493" authorId="1" shapeId="0" xr:uid="{49AEBEEA-A8B8-40BF-A37D-F20B1601E0D5}">
      <text>
        <r>
          <rPr>
            <sz val="8"/>
            <color rgb="FF000000"/>
            <rFont val="Tahoma"/>
            <family val="2"/>
          </rPr>
          <t xml:space="preserve">Severe Warning  AA009:  Substantial Metric difference from prior year &gt;=100% </t>
        </r>
      </text>
    </comment>
    <comment ref="O493" authorId="1" shapeId="0" xr:uid="{858D27F9-351A-47CB-A781-C869FA1529FF}">
      <text>
        <r>
          <rPr>
            <sz val="8"/>
            <color rgb="FF000000"/>
            <rFont val="Tahoma"/>
            <family val="2"/>
          </rPr>
          <t xml:space="preserve">Severe Warning  AA009:  Substantial Metric difference from prior year &gt;=100% </t>
        </r>
      </text>
    </comment>
    <comment ref="I494" authorId="1" shapeId="0" xr:uid="{474184CB-D89A-4567-92B3-E24CE6FAC4FA}">
      <text>
        <r>
          <rPr>
            <sz val="8"/>
            <color rgb="FF000000"/>
            <rFont val="Tahoma"/>
            <family val="2"/>
          </rPr>
          <t xml:space="preserve">Severe Warning  AA009:  Substantial Metric difference from prior year &gt;=100% </t>
        </r>
      </text>
    </comment>
    <comment ref="K494" authorId="1" shapeId="0" xr:uid="{F3C161AA-DA17-4572-B437-FA40C0B04469}">
      <text>
        <r>
          <rPr>
            <sz val="8"/>
            <color rgb="FF000000"/>
            <rFont val="Tahoma"/>
            <family val="2"/>
          </rPr>
          <t xml:space="preserve">Severe Warning  AA009:  Substantial Metric difference from prior year &gt;=100% </t>
        </r>
      </text>
    </comment>
    <comment ref="O494" authorId="1" shapeId="0" xr:uid="{94A6E463-A6FF-4257-B078-05E65ECB2B14}">
      <text>
        <r>
          <rPr>
            <sz val="8"/>
            <color rgb="FF000000"/>
            <rFont val="Tahoma"/>
            <family val="2"/>
          </rPr>
          <t xml:space="preserve">Severe Warning  AA009:  Substantial Metric difference from prior year &gt;=100% </t>
        </r>
      </text>
    </comment>
    <comment ref="Q494" authorId="1" shapeId="0" xr:uid="{7301AC52-E516-4BE6-8F3D-C9053F7AEB89}">
      <text>
        <r>
          <rPr>
            <sz val="8"/>
            <color rgb="FF000000"/>
            <rFont val="Tahoma"/>
            <family val="2"/>
          </rPr>
          <t xml:space="preserve">Severe Warning  AA009:  Substantial Metric difference from prior year &gt;=100% </t>
        </r>
      </text>
    </comment>
    <comment ref="I495" authorId="1" shapeId="0" xr:uid="{A7CB2761-8021-48A4-80E6-BBEADF677C05}">
      <text>
        <r>
          <rPr>
            <sz val="8"/>
            <color rgb="FF000000"/>
            <rFont val="Tahoma"/>
            <family val="2"/>
          </rPr>
          <t xml:space="preserve">Severe Warning  AA009:  Substantial Metric difference from prior year &gt;=100% </t>
        </r>
      </text>
    </comment>
    <comment ref="K495" authorId="1" shapeId="0" xr:uid="{67E7D6F8-2527-4A37-A2C2-CB1DC3E9E020}">
      <text>
        <r>
          <rPr>
            <sz val="8"/>
            <color rgb="FF000000"/>
            <rFont val="Tahoma"/>
            <family val="2"/>
          </rPr>
          <t xml:space="preserve">Severe Warning  AA009:  Substantial Metric difference from prior year &gt;=100% </t>
        </r>
      </text>
    </comment>
    <comment ref="O495" authorId="1" shapeId="0" xr:uid="{5B1CDE72-0202-4E53-A066-8E47CFC4996E}">
      <text>
        <r>
          <rPr>
            <sz val="8"/>
            <color rgb="FF000000"/>
            <rFont val="Tahoma"/>
            <family val="2"/>
          </rPr>
          <t xml:space="preserve">Severe Warning  AA009:  Substantial Metric difference from prior year &gt;=100% </t>
        </r>
      </text>
    </comment>
    <comment ref="Q495" authorId="1" shapeId="0" xr:uid="{9A40FCE8-3A45-45D8-B393-B82D8963218B}">
      <text>
        <r>
          <rPr>
            <sz val="8"/>
            <color rgb="FF000000"/>
            <rFont val="Tahoma"/>
            <family val="2"/>
          </rPr>
          <t xml:space="preserve">Severe Warning  AA009:  Substantial Metric difference from prior year &gt;=100% </t>
        </r>
      </text>
    </comment>
    <comment ref="I496" authorId="1" shapeId="0" xr:uid="{6E286632-E732-4E24-B038-56B602721F71}">
      <text>
        <r>
          <rPr>
            <sz val="8"/>
            <color rgb="FF000000"/>
            <rFont val="Tahoma"/>
            <family val="2"/>
          </rPr>
          <t xml:space="preserve">Severe Warning  AA009:  Substantial Metric difference from prior year &gt;=100% </t>
        </r>
      </text>
    </comment>
    <comment ref="K496" authorId="1" shapeId="0" xr:uid="{DF83C39D-DA2B-4FF1-AF9B-A0E8881D0359}">
      <text>
        <r>
          <rPr>
            <sz val="8"/>
            <color rgb="FF000000"/>
            <rFont val="Tahoma"/>
            <family val="2"/>
          </rPr>
          <t xml:space="preserve">Severe Warning  AA009:  Substantial Metric difference from prior year &gt;=100% </t>
        </r>
      </text>
    </comment>
    <comment ref="O496" authorId="1" shapeId="0" xr:uid="{DCB74E0D-29AA-4547-B02D-836CDEFADFF6}">
      <text>
        <r>
          <rPr>
            <sz val="8"/>
            <color rgb="FF000000"/>
            <rFont val="Tahoma"/>
            <family val="2"/>
          </rPr>
          <t xml:space="preserve">Severe Warning  AA009:  Substantial Metric difference from prior year &gt;=100% </t>
        </r>
      </text>
    </comment>
    <comment ref="P496" authorId="1" shapeId="0" xr:uid="{AEF56404-F34F-4FA2-872A-822FB62DEB2D}">
      <text>
        <r>
          <rPr>
            <sz val="8"/>
            <color rgb="FF000000"/>
            <rFont val="Tahoma"/>
            <family val="2"/>
          </rPr>
          <t xml:space="preserve">Severe Warning  AA009:  Substantial Metric difference from prior year &gt;=100% </t>
        </r>
      </text>
    </comment>
    <comment ref="I497" authorId="1" shapeId="0" xr:uid="{CEADA54A-EBAA-419A-A0EC-EB621F0BFE77}">
      <text>
        <r>
          <rPr>
            <sz val="8"/>
            <color rgb="FF000000"/>
            <rFont val="Tahoma"/>
            <family val="2"/>
          </rPr>
          <t xml:space="preserve">Severe Warning  AA009:  Substantial Metric difference from prior year &gt;=100% </t>
        </r>
      </text>
    </comment>
    <comment ref="K497" authorId="1" shapeId="0" xr:uid="{66EBE508-F3EC-4107-BE9E-92E45F24651E}">
      <text>
        <r>
          <rPr>
            <sz val="8"/>
            <color rgb="FF000000"/>
            <rFont val="Tahoma"/>
            <family val="2"/>
          </rPr>
          <t xml:space="preserve">Severe Warning  AA009:  Substantial Metric difference from prior year &gt;=100% </t>
        </r>
      </text>
    </comment>
    <comment ref="O497" authorId="1" shapeId="0" xr:uid="{3057399D-6CC9-40D3-8B15-32FFAA5A3433}">
      <text>
        <r>
          <rPr>
            <sz val="8"/>
            <color rgb="FF000000"/>
            <rFont val="Tahoma"/>
            <family val="2"/>
          </rPr>
          <t xml:space="preserve">Severe Warning  AA009:  Substantial Metric difference from prior year &gt;=100% </t>
        </r>
      </text>
    </comment>
    <comment ref="P497" authorId="1" shapeId="0" xr:uid="{D03D55C4-568C-408E-BB20-4375F18B807D}">
      <text>
        <r>
          <rPr>
            <sz val="8"/>
            <color rgb="FF000000"/>
            <rFont val="Tahoma"/>
            <family val="2"/>
          </rPr>
          <t xml:space="preserve">Severe Warning  AA009:  Substantial Metric difference from prior year &gt;=100% </t>
        </r>
      </text>
    </comment>
    <comment ref="I498" authorId="1" shapeId="0" xr:uid="{B57C8DEC-C8AF-48B7-B948-0F2D5D8EA0E5}">
      <text>
        <r>
          <rPr>
            <sz val="8"/>
            <color rgb="FF000000"/>
            <rFont val="Tahoma"/>
            <family val="2"/>
          </rPr>
          <t xml:space="preserve">Severe Warning  AA009:  Substantial Metric difference from prior year &gt;=100% </t>
        </r>
      </text>
    </comment>
    <comment ref="K498" authorId="1" shapeId="0" xr:uid="{210899CF-CBE9-4A30-B87C-E1074F35F9EC}">
      <text>
        <r>
          <rPr>
            <sz val="8"/>
            <color rgb="FF000000"/>
            <rFont val="Tahoma"/>
            <family val="2"/>
          </rPr>
          <t xml:space="preserve">Severe Warning  AA009:  Substantial Metric difference from prior year &gt;=100% </t>
        </r>
      </text>
    </comment>
    <comment ref="O498" authorId="1" shapeId="0" xr:uid="{C18D3D50-A4CD-46A2-87B4-805F4F81AED8}">
      <text>
        <r>
          <rPr>
            <sz val="8"/>
            <color rgb="FF000000"/>
            <rFont val="Tahoma"/>
            <family val="2"/>
          </rPr>
          <t xml:space="preserve">Severe Warning  AA009:  Substantial Metric difference from prior year &gt;=100% </t>
        </r>
      </text>
    </comment>
    <comment ref="P498" authorId="1" shapeId="0" xr:uid="{CD21FF74-53E6-4E03-8FA4-844F79DD3E1C}">
      <text>
        <r>
          <rPr>
            <sz val="8"/>
            <color rgb="FF000000"/>
            <rFont val="Tahoma"/>
            <family val="2"/>
          </rPr>
          <t xml:space="preserve">Severe Warning  AA009:  Substantial Metric difference from prior year &gt;=100% </t>
        </r>
      </text>
    </comment>
    <comment ref="I499" authorId="1" shapeId="0" xr:uid="{8ABADD35-237A-4A92-B282-67230BE80288}">
      <text>
        <r>
          <rPr>
            <sz val="8"/>
            <color rgb="FF000000"/>
            <rFont val="Tahoma"/>
            <family val="2"/>
          </rPr>
          <t xml:space="preserve">Severe Warning  AA009:  Substantial Metric difference from prior year &gt;=100% </t>
        </r>
      </text>
    </comment>
    <comment ref="K499" authorId="1" shapeId="0" xr:uid="{A97508C6-AA45-4F58-B324-751411EA978C}">
      <text>
        <r>
          <rPr>
            <sz val="8"/>
            <color rgb="FF000000"/>
            <rFont val="Tahoma"/>
            <family val="2"/>
          </rPr>
          <t xml:space="preserve">Severe Warning  AA009:  Substantial Metric difference from prior year &gt;=100% </t>
        </r>
      </text>
    </comment>
    <comment ref="O499" authorId="1" shapeId="0" xr:uid="{0A427768-ADD1-4499-94AE-B44AD483DD6E}">
      <text>
        <r>
          <rPr>
            <sz val="8"/>
            <color rgb="FF000000"/>
            <rFont val="Tahoma"/>
            <family val="2"/>
          </rPr>
          <t xml:space="preserve">Severe Warning  AA009:  Substantial Metric difference from prior year &gt;=100% </t>
        </r>
      </text>
    </comment>
    <comment ref="P499" authorId="1" shapeId="0" xr:uid="{E5A4F990-D57E-4EB0-9E42-7B3751A71AFB}">
      <text>
        <r>
          <rPr>
            <sz val="8"/>
            <color rgb="FF000000"/>
            <rFont val="Tahoma"/>
            <family val="2"/>
          </rPr>
          <t xml:space="preserve">Severe Warning  AA009:  Substantial Metric difference from prior year &gt;=100% </t>
        </r>
      </text>
    </comment>
    <comment ref="I500" authorId="1" shapeId="0" xr:uid="{D3538683-8392-4213-B65E-9775BF861C69}">
      <text>
        <r>
          <rPr>
            <sz val="8"/>
            <color rgb="FF000000"/>
            <rFont val="Tahoma"/>
            <family val="2"/>
          </rPr>
          <t xml:space="preserve">Severe Warning  AA009:  Substantial Metric difference from prior year &gt;=100% </t>
        </r>
      </text>
    </comment>
    <comment ref="K500" authorId="1" shapeId="0" xr:uid="{994F8FA1-6501-42B1-BB85-F78FA7F726D1}">
      <text>
        <r>
          <rPr>
            <sz val="8"/>
            <color rgb="FF000000"/>
            <rFont val="Tahoma"/>
            <family val="2"/>
          </rPr>
          <t xml:space="preserve">Severe Warning  AA009:  Substantial Metric difference from prior year &gt;=100% </t>
        </r>
      </text>
    </comment>
    <comment ref="O500" authorId="1" shapeId="0" xr:uid="{7250CCF9-77C6-429D-B324-DBE6172AD920}">
      <text>
        <r>
          <rPr>
            <sz val="8"/>
            <color rgb="FF000000"/>
            <rFont val="Tahoma"/>
            <family val="2"/>
          </rPr>
          <t xml:space="preserve">Severe Warning  AA009:  Substantial Metric difference from prior year &gt;=100% </t>
        </r>
      </text>
    </comment>
    <comment ref="P500" authorId="1" shapeId="0" xr:uid="{3E60B7E7-5402-4B7A-9C7E-638D6DAFC027}">
      <text>
        <r>
          <rPr>
            <sz val="8"/>
            <color rgb="FF000000"/>
            <rFont val="Tahoma"/>
            <family val="2"/>
          </rPr>
          <t xml:space="preserve">Severe Warning  AA009:  Substantial Metric difference from prior year &gt;=100% </t>
        </r>
      </text>
    </comment>
    <comment ref="I501" authorId="1" shapeId="0" xr:uid="{F58FA3D8-5104-4F65-88F3-C55E254A9B8D}">
      <text>
        <r>
          <rPr>
            <sz val="8"/>
            <color rgb="FF000000"/>
            <rFont val="Tahoma"/>
            <family val="2"/>
          </rPr>
          <t xml:space="preserve">Severe Warning  AA009:  Substantial Metric difference from prior year &gt;=100% </t>
        </r>
      </text>
    </comment>
    <comment ref="K501" authorId="1" shapeId="0" xr:uid="{A1C0EACD-B006-4FF8-B523-12D49E0D2944}">
      <text>
        <r>
          <rPr>
            <sz val="8"/>
            <color rgb="FF000000"/>
            <rFont val="Tahoma"/>
            <family val="2"/>
          </rPr>
          <t xml:space="preserve">Severe Warning  AA009:  Substantial Metric difference from prior year &gt;=100% </t>
        </r>
      </text>
    </comment>
    <comment ref="O501" authorId="1" shapeId="0" xr:uid="{F2C01A01-6971-490E-90D4-2BCF390B4C00}">
      <text>
        <r>
          <rPr>
            <sz val="8"/>
            <color rgb="FF000000"/>
            <rFont val="Tahoma"/>
            <family val="2"/>
          </rPr>
          <t xml:space="preserve">Severe Warning  AA009:  Substantial Metric difference from prior year &gt;=100% </t>
        </r>
      </text>
    </comment>
    <comment ref="P501" authorId="1" shapeId="0" xr:uid="{442FDA22-4D38-4B6E-B108-D40726EA9AAC}">
      <text>
        <r>
          <rPr>
            <sz val="8"/>
            <color rgb="FF000000"/>
            <rFont val="Tahoma"/>
            <family val="2"/>
          </rPr>
          <t xml:space="preserve">Severe Warning  AA009:  Substantial Metric difference from prior year &gt;=100% </t>
        </r>
      </text>
    </comment>
    <comment ref="Q501" authorId="1" shapeId="0" xr:uid="{6AB10C1B-E534-470D-ADAC-F50AF8D34041}">
      <text>
        <r>
          <rPr>
            <sz val="8"/>
            <color rgb="FF000000"/>
            <rFont val="Tahoma"/>
            <family val="2"/>
          </rPr>
          <t xml:space="preserve">Severe Warning  AA009:  Substantial Metric difference from prior year &gt;=100% </t>
        </r>
      </text>
    </comment>
    <comment ref="I502" authorId="1" shapeId="0" xr:uid="{81D3641B-E07D-40D6-AF64-28AB3D544EFE}">
      <text>
        <r>
          <rPr>
            <sz val="8"/>
            <color rgb="FF000000"/>
            <rFont val="Tahoma"/>
            <family val="2"/>
          </rPr>
          <t xml:space="preserve">Severe Warning  AA009:  Substantial Metric difference from prior year &gt;=100% </t>
        </r>
      </text>
    </comment>
    <comment ref="K502" authorId="1" shapeId="0" xr:uid="{35E7AB02-0A8F-42A6-9F3F-2277CF8EEDD9}">
      <text>
        <r>
          <rPr>
            <sz val="8"/>
            <color rgb="FF000000"/>
            <rFont val="Tahoma"/>
            <family val="2"/>
          </rPr>
          <t xml:space="preserve">Severe Warning  AA009:  Substantial Metric difference from prior year &gt;=100% </t>
        </r>
      </text>
    </comment>
    <comment ref="O502" authorId="1" shapeId="0" xr:uid="{9400307A-9B78-4FA0-B9C9-2928CDC98455}">
      <text>
        <r>
          <rPr>
            <sz val="8"/>
            <color rgb="FF000000"/>
            <rFont val="Tahoma"/>
            <family val="2"/>
          </rPr>
          <t xml:space="preserve">Severe Warning  AA009:  Substantial Metric difference from prior year &gt;=100% </t>
        </r>
      </text>
    </comment>
    <comment ref="I503" authorId="1" shapeId="0" xr:uid="{E7A1654E-F177-48FD-A11A-D259729E7352}">
      <text>
        <r>
          <rPr>
            <sz val="8"/>
            <color rgb="FF000000"/>
            <rFont val="Tahoma"/>
            <family val="2"/>
          </rPr>
          <t xml:space="preserve">Severe Warning  AA009:  Substantial Metric difference from prior year &gt;=100% </t>
        </r>
      </text>
    </comment>
    <comment ref="K503" authorId="1" shapeId="0" xr:uid="{503DED48-869C-48E4-896A-22340A7036E2}">
      <text>
        <r>
          <rPr>
            <sz val="8"/>
            <color rgb="FF000000"/>
            <rFont val="Tahoma"/>
            <family val="2"/>
          </rPr>
          <t xml:space="preserve">Severe Warning  AA009:  Substantial Metric difference from prior year &gt;=100% </t>
        </r>
      </text>
    </comment>
    <comment ref="O503" authorId="1" shapeId="0" xr:uid="{4EB6B5CE-0044-42FC-818F-8D3C62C2F499}">
      <text>
        <r>
          <rPr>
            <sz val="8"/>
            <color rgb="FF000000"/>
            <rFont val="Tahoma"/>
            <family val="2"/>
          </rPr>
          <t xml:space="preserve">Severe Warning  AA009:  Substantial Metric difference from prior year &gt;=100% </t>
        </r>
      </text>
    </comment>
    <comment ref="I504" authorId="1" shapeId="0" xr:uid="{95721685-014E-4B5D-898F-A738245D74FD}">
      <text>
        <r>
          <rPr>
            <sz val="8"/>
            <color rgb="FF000000"/>
            <rFont val="Tahoma"/>
            <family val="2"/>
          </rPr>
          <t xml:space="preserve">Severe Warning  AA009:  Substantial Metric difference from prior year &gt;=100% </t>
        </r>
      </text>
    </comment>
    <comment ref="K504" authorId="1" shapeId="0" xr:uid="{61C00DC0-98B3-4630-9CCA-058DD4343355}">
      <text>
        <r>
          <rPr>
            <sz val="8"/>
            <color rgb="FF000000"/>
            <rFont val="Tahoma"/>
            <family val="2"/>
          </rPr>
          <t xml:space="preserve">Severe Warning  AA009:  Substantial Metric difference from prior year &gt;=100% </t>
        </r>
      </text>
    </comment>
    <comment ref="O504" authorId="1" shapeId="0" xr:uid="{009EB74D-4BFD-4078-A0C2-C7FCA76DC55D}">
      <text>
        <r>
          <rPr>
            <sz val="8"/>
            <color rgb="FF000000"/>
            <rFont val="Tahoma"/>
            <family val="2"/>
          </rPr>
          <t xml:space="preserve">Severe Warning  AA009:  Substantial Metric difference from prior year &gt;=100% </t>
        </r>
      </text>
    </comment>
    <comment ref="I505" authorId="1" shapeId="0" xr:uid="{EE983CD7-324D-4CD6-B37A-3F5C68C00DD9}">
      <text>
        <r>
          <rPr>
            <sz val="8"/>
            <color rgb="FF000000"/>
            <rFont val="Tahoma"/>
            <family val="2"/>
          </rPr>
          <t xml:space="preserve">Severe Warning  AA009:  Substantial Metric difference from prior year &gt;=100% </t>
        </r>
      </text>
    </comment>
    <comment ref="K505" authorId="1" shapeId="0" xr:uid="{FA163641-ABBA-4F0B-9884-C35C101CC9C8}">
      <text>
        <r>
          <rPr>
            <sz val="8"/>
            <color rgb="FF000000"/>
            <rFont val="Tahoma"/>
            <family val="2"/>
          </rPr>
          <t xml:space="preserve">Severe Warning  AA009:  Substantial Metric difference from prior year &gt;=100% </t>
        </r>
      </text>
    </comment>
    <comment ref="O505" authorId="1" shapeId="0" xr:uid="{D2C3DCD7-DC3E-41DE-AE91-17BDBF94E1FC}">
      <text>
        <r>
          <rPr>
            <sz val="8"/>
            <color rgb="FF000000"/>
            <rFont val="Tahoma"/>
            <family val="2"/>
          </rPr>
          <t xml:space="preserve">Severe Warning  AA009:  Substantial Metric difference from prior year &gt;=100% </t>
        </r>
      </text>
    </comment>
    <comment ref="I506" authorId="1" shapeId="0" xr:uid="{8EBBFE68-27D0-4195-9644-32BB0601F162}">
      <text>
        <r>
          <rPr>
            <sz val="8"/>
            <color rgb="FF000000"/>
            <rFont val="Tahoma"/>
            <family val="2"/>
          </rPr>
          <t xml:space="preserve">Severe Warning  AA009:  Substantial Metric difference from prior year &gt;=100% </t>
        </r>
      </text>
    </comment>
    <comment ref="K506" authorId="1" shapeId="0" xr:uid="{47C1695D-71AB-4203-B245-8113B5718DF2}">
      <text>
        <r>
          <rPr>
            <sz val="8"/>
            <color rgb="FF000000"/>
            <rFont val="Tahoma"/>
            <family val="2"/>
          </rPr>
          <t xml:space="preserve">Severe Warning  AA009:  Substantial Metric difference from prior year &gt;=100% </t>
        </r>
      </text>
    </comment>
    <comment ref="O506" authorId="1" shapeId="0" xr:uid="{5B468931-22BF-45F6-B3E6-3DCFE7C64CD4}">
      <text>
        <r>
          <rPr>
            <sz val="8"/>
            <color rgb="FF000000"/>
            <rFont val="Tahoma"/>
            <family val="2"/>
          </rPr>
          <t xml:space="preserve">Severe Warning  AA009:  Substantial Metric difference from prior year &gt;=100% </t>
        </r>
      </text>
    </comment>
    <comment ref="P506" authorId="1" shapeId="0" xr:uid="{F3F96444-ADEA-4F6D-9A95-D38D77D348D3}">
      <text>
        <r>
          <rPr>
            <sz val="8"/>
            <color rgb="FF000000"/>
            <rFont val="Tahoma"/>
            <family val="2"/>
          </rPr>
          <t xml:space="preserve">Severe Warning  AA009:  Substantial Metric difference from prior year &gt;=100% </t>
        </r>
      </text>
    </comment>
    <comment ref="I507" authorId="1" shapeId="0" xr:uid="{13F33192-4311-45A6-ABFD-F482557F72F8}">
      <text>
        <r>
          <rPr>
            <sz val="8"/>
            <color rgb="FF000000"/>
            <rFont val="Tahoma"/>
            <family val="2"/>
          </rPr>
          <t xml:space="preserve">Severe Warning  AA009:  Substantial Metric difference from prior year &gt;=100% </t>
        </r>
      </text>
    </comment>
    <comment ref="K507" authorId="1" shapeId="0" xr:uid="{66C5C0E1-2DE4-47A2-8C0E-2CD6DBDFB049}">
      <text>
        <r>
          <rPr>
            <sz val="8"/>
            <color rgb="FF000000"/>
            <rFont val="Tahoma"/>
            <family val="2"/>
          </rPr>
          <t xml:space="preserve">Severe Warning  AA009:  Substantial Metric difference from prior year &gt;=100% </t>
        </r>
      </text>
    </comment>
    <comment ref="O507" authorId="1" shapeId="0" xr:uid="{98C40AD2-440E-4B2F-B592-B5017B238D02}">
      <text>
        <r>
          <rPr>
            <sz val="8"/>
            <color rgb="FF000000"/>
            <rFont val="Tahoma"/>
            <family val="2"/>
          </rPr>
          <t xml:space="preserve">Severe Warning  AA009:  Substantial Metric difference from prior year &gt;=100% </t>
        </r>
      </text>
    </comment>
    <comment ref="P507" authorId="1" shapeId="0" xr:uid="{4F81EB0C-A558-4D41-B165-7D89C1E6B552}">
      <text>
        <r>
          <rPr>
            <sz val="8"/>
            <color rgb="FF000000"/>
            <rFont val="Tahoma"/>
            <family val="2"/>
          </rPr>
          <t xml:space="preserve">Severe Warning  AA009:  Substantial Metric difference from prior year &gt;=100% </t>
        </r>
      </text>
    </comment>
    <comment ref="I508" authorId="1" shapeId="0" xr:uid="{B6F45BDA-771D-48D7-922B-A911930DEBA3}">
      <text>
        <r>
          <rPr>
            <sz val="8"/>
            <color rgb="FF000000"/>
            <rFont val="Tahoma"/>
            <family val="2"/>
          </rPr>
          <t xml:space="preserve">Severe Warning  AA009:  Substantial Metric difference from prior year &gt;=100% </t>
        </r>
      </text>
    </comment>
    <comment ref="K508" authorId="1" shapeId="0" xr:uid="{E1AE30C6-E458-44A0-A310-45585432CC83}">
      <text>
        <r>
          <rPr>
            <sz val="8"/>
            <color rgb="FF000000"/>
            <rFont val="Tahoma"/>
            <family val="2"/>
          </rPr>
          <t xml:space="preserve">Severe Warning  AA009:  Substantial Metric difference from prior year &gt;=100% </t>
        </r>
      </text>
    </comment>
    <comment ref="O508" authorId="1" shapeId="0" xr:uid="{AA67D7B9-001D-46DF-89B3-68BE1CF52E0E}">
      <text>
        <r>
          <rPr>
            <sz val="8"/>
            <color rgb="FF000000"/>
            <rFont val="Tahoma"/>
            <family val="2"/>
          </rPr>
          <t xml:space="preserve">Severe Warning  AA009:  Substantial Metric difference from prior year &gt;=100% </t>
        </r>
      </text>
    </comment>
    <comment ref="P508" authorId="1" shapeId="0" xr:uid="{005A71D1-41A1-4A64-BD5F-2EBC6D03E1E1}">
      <text>
        <r>
          <rPr>
            <sz val="8"/>
            <color rgb="FF000000"/>
            <rFont val="Tahoma"/>
            <family val="2"/>
          </rPr>
          <t xml:space="preserve">Severe Warning  AA009:  Substantial Metric difference from prior year &gt;=100% </t>
        </r>
      </text>
    </comment>
    <comment ref="I509" authorId="1" shapeId="0" xr:uid="{3FA3FDD6-BD7D-4500-89A6-7131CBC859A2}">
      <text>
        <r>
          <rPr>
            <sz val="8"/>
            <color rgb="FF000000"/>
            <rFont val="Tahoma"/>
            <family val="2"/>
          </rPr>
          <t xml:space="preserve">Severe Warning  AA009:  Substantial Metric difference from prior year &gt;=100% </t>
        </r>
      </text>
    </comment>
    <comment ref="K509" authorId="1" shapeId="0" xr:uid="{CF933D7F-BAC0-4327-81F4-982BB9F76A5D}">
      <text>
        <r>
          <rPr>
            <sz val="8"/>
            <color rgb="FF000000"/>
            <rFont val="Tahoma"/>
            <family val="2"/>
          </rPr>
          <t xml:space="preserve">Severe Warning  AA009:  Substantial Metric difference from prior year &gt;=100% </t>
        </r>
      </text>
    </comment>
    <comment ref="O509" authorId="1" shapeId="0" xr:uid="{7C6C7FFE-18F5-4F39-89D9-CD7D604DC668}">
      <text>
        <r>
          <rPr>
            <sz val="8"/>
            <color rgb="FF000000"/>
            <rFont val="Tahoma"/>
            <family val="2"/>
          </rPr>
          <t xml:space="preserve">Severe Warning  AA009:  Substantial Metric difference from prior year &gt;=100% </t>
        </r>
      </text>
    </comment>
    <comment ref="Q509" authorId="1" shapeId="0" xr:uid="{C9F12EE7-961C-46BE-9F54-82CEC3F95297}">
      <text>
        <r>
          <rPr>
            <sz val="8"/>
            <color rgb="FF000000"/>
            <rFont val="Tahoma"/>
            <family val="2"/>
          </rPr>
          <t xml:space="preserve">Severe Warning  AA009:  Substantial Metric difference from prior year &gt;=100% </t>
        </r>
      </text>
    </comment>
    <comment ref="I510" authorId="1" shapeId="0" xr:uid="{9A2EFA60-5D9C-41CD-A594-EE5D1DA713D4}">
      <text>
        <r>
          <rPr>
            <sz val="8"/>
            <color rgb="FF000000"/>
            <rFont val="Tahoma"/>
            <family val="2"/>
          </rPr>
          <t xml:space="preserve">Severe Warning  AA009:  Substantial Metric difference from prior year &gt;=100% </t>
        </r>
      </text>
    </comment>
    <comment ref="K510" authorId="1" shapeId="0" xr:uid="{E7EFDCCD-CCEC-42C4-A347-83C7AAD158C9}">
      <text>
        <r>
          <rPr>
            <sz val="8"/>
            <color rgb="FF000000"/>
            <rFont val="Tahoma"/>
            <family val="2"/>
          </rPr>
          <t xml:space="preserve">Severe Warning  AA009:  Substantial Metric difference from prior year &gt;=100% </t>
        </r>
      </text>
    </comment>
    <comment ref="O510" authorId="1" shapeId="0" xr:uid="{8B97733A-6D96-4BD7-B293-BDD4F6EC3FDB}">
      <text>
        <r>
          <rPr>
            <sz val="8"/>
            <color rgb="FF000000"/>
            <rFont val="Tahoma"/>
            <family val="2"/>
          </rPr>
          <t xml:space="preserve">Severe Warning  AA009:  Substantial Metric difference from prior year &gt;=100% </t>
        </r>
      </text>
    </comment>
    <comment ref="Q510" authorId="1" shapeId="0" xr:uid="{0E8750A9-1491-4827-B5E9-C0EEFF098078}">
      <text>
        <r>
          <rPr>
            <sz val="8"/>
            <color rgb="FF000000"/>
            <rFont val="Tahoma"/>
            <family val="2"/>
          </rPr>
          <t xml:space="preserve">Severe Warning  AA009:  Substantial Metric difference from prior year &gt;=100% </t>
        </r>
      </text>
    </comment>
    <comment ref="K511" authorId="1" shapeId="0" xr:uid="{C54C5D23-ADD8-4156-84AA-73C79FBE0B0A}">
      <text>
        <r>
          <rPr>
            <sz val="8"/>
            <color rgb="FF000000"/>
            <rFont val="Tahoma"/>
            <family val="2"/>
          </rPr>
          <t xml:space="preserve">Severe Warning  AA009:  Substantial Metric difference from prior year &gt;=100% </t>
        </r>
      </text>
    </comment>
    <comment ref="O511" authorId="1" shapeId="0" xr:uid="{EB249252-041E-43CA-BC88-37942883A011}">
      <text>
        <r>
          <rPr>
            <sz val="8"/>
            <color rgb="FF000000"/>
            <rFont val="Tahoma"/>
            <family val="2"/>
          </rPr>
          <t xml:space="preserve">Severe Warning  AA009:  Substantial Metric difference from prior year &gt;=100% </t>
        </r>
      </text>
    </comment>
    <comment ref="Q511" authorId="1" shapeId="0" xr:uid="{1682C87C-E3A9-4641-8F0B-C664AE6DDD2E}">
      <text>
        <r>
          <rPr>
            <sz val="8"/>
            <color rgb="FF000000"/>
            <rFont val="Tahoma"/>
            <family val="2"/>
          </rPr>
          <t xml:space="preserve">Severe Warning  AA009:  Substantial Metric difference from prior year &gt;=100% </t>
        </r>
      </text>
    </comment>
    <comment ref="I512" authorId="1" shapeId="0" xr:uid="{E2B7AD25-C353-4F6E-9FC6-F6AFDC8C829B}">
      <text>
        <r>
          <rPr>
            <sz val="8"/>
            <color rgb="FF000000"/>
            <rFont val="Tahoma"/>
            <family val="2"/>
          </rPr>
          <t xml:space="preserve">Severe Warning  AA009:  Substantial Metric difference from prior year &gt;=100% </t>
        </r>
      </text>
    </comment>
    <comment ref="K512" authorId="1" shapeId="0" xr:uid="{0ABC0472-3DA7-4CE1-A2D1-5B5FAE3DB318}">
      <text>
        <r>
          <rPr>
            <sz val="8"/>
            <color rgb="FF000000"/>
            <rFont val="Tahoma"/>
            <family val="2"/>
          </rPr>
          <t xml:space="preserve">Severe Warning  AA009:  Substantial Metric difference from prior year &gt;=100% </t>
        </r>
      </text>
    </comment>
    <comment ref="O512" authorId="1" shapeId="0" xr:uid="{9A298423-7012-406A-8F42-1F2C8885AD19}">
      <text>
        <r>
          <rPr>
            <sz val="8"/>
            <color rgb="FF000000"/>
            <rFont val="Tahoma"/>
            <family val="2"/>
          </rPr>
          <t xml:space="preserve">Severe Warning  AA009:  Substantial Metric difference from prior year &gt;=100% </t>
        </r>
      </text>
    </comment>
    <comment ref="Q512" authorId="1" shapeId="0" xr:uid="{BA03F228-C390-425B-8C3D-C432AA5EBC93}">
      <text>
        <r>
          <rPr>
            <sz val="8"/>
            <color rgb="FF000000"/>
            <rFont val="Tahoma"/>
            <family val="2"/>
          </rPr>
          <t xml:space="preserve">Severe Warning  AA009:  Substantial Metric difference from prior year &gt;=100% </t>
        </r>
      </text>
    </comment>
    <comment ref="I513" authorId="1" shapeId="0" xr:uid="{E9F58FF9-8061-44BC-A7D0-6388114DCA1E}">
      <text>
        <r>
          <rPr>
            <sz val="8"/>
            <color rgb="FF000000"/>
            <rFont val="Tahoma"/>
            <family val="2"/>
          </rPr>
          <t xml:space="preserve">Severe Warning  AA009:  Substantial Metric difference from prior year &gt;=100% </t>
        </r>
      </text>
    </comment>
    <comment ref="K513" authorId="1" shapeId="0" xr:uid="{046B622E-B647-472B-88C7-B4FB41E57DBD}">
      <text>
        <r>
          <rPr>
            <sz val="8"/>
            <color rgb="FF000000"/>
            <rFont val="Tahoma"/>
            <family val="2"/>
          </rPr>
          <t xml:space="preserve">Severe Warning  AA009:  Substantial Metric difference from prior year &gt;=100% </t>
        </r>
      </text>
    </comment>
    <comment ref="O513" authorId="1" shapeId="0" xr:uid="{B4012118-E62C-4D2F-95AA-2753A710CD54}">
      <text>
        <r>
          <rPr>
            <sz val="8"/>
            <color rgb="FF000000"/>
            <rFont val="Tahoma"/>
            <family val="2"/>
          </rPr>
          <t xml:space="preserve">Severe Warning  AA009:  Substantial Metric difference from prior year &gt;=100% </t>
        </r>
      </text>
    </comment>
    <comment ref="P513" authorId="1" shapeId="0" xr:uid="{598846A6-E898-47FD-83AB-CEE004AF4C7C}">
      <text>
        <r>
          <rPr>
            <sz val="8"/>
            <color rgb="FF000000"/>
            <rFont val="Tahoma"/>
            <family val="2"/>
          </rPr>
          <t xml:space="preserve">Severe Warning  AA009:  Substantial Metric difference from prior year &gt;=100% </t>
        </r>
      </text>
    </comment>
    <comment ref="I514" authorId="1" shapeId="0" xr:uid="{1C93A6E6-4053-4D72-B21B-0A90185B3481}">
      <text>
        <r>
          <rPr>
            <sz val="8"/>
            <color rgb="FF000000"/>
            <rFont val="Tahoma"/>
            <family val="2"/>
          </rPr>
          <t xml:space="preserve">Severe Warning  AA009:  Substantial Metric difference from prior year &gt;=100% </t>
        </r>
      </text>
    </comment>
    <comment ref="O514" authorId="1" shapeId="0" xr:uid="{CB274763-F511-430A-AF14-F81B540387EF}">
      <text>
        <r>
          <rPr>
            <sz val="8"/>
            <color rgb="FF000000"/>
            <rFont val="Tahoma"/>
            <family val="2"/>
          </rPr>
          <t xml:space="preserve">Severe Warning  AA009:  Substantial Metric difference from prior year &gt;=100% </t>
        </r>
      </text>
    </comment>
    <comment ref="Q514" authorId="1" shapeId="0" xr:uid="{F3762E7A-64B7-4582-9F80-C8271AB21CA8}">
      <text>
        <r>
          <rPr>
            <sz val="8"/>
            <color rgb="FF000000"/>
            <rFont val="Tahoma"/>
            <family val="2"/>
          </rPr>
          <t xml:space="preserve">Severe Warning  AA009:  Substantial Metric difference from prior year &gt;=100% </t>
        </r>
      </text>
    </comment>
    <comment ref="W514" authorId="1" shapeId="0" xr:uid="{68ED4DCE-7EA3-45B6-A517-F6AEBE9EFB42}">
      <text>
        <r>
          <rPr>
            <sz val="8"/>
            <color rgb="FF000000"/>
            <rFont val="Tahoma"/>
            <family val="2"/>
          </rPr>
          <t xml:space="preserve">Severe Warning  AA009:  Substantial Metric difference from prior year &gt;=100% </t>
        </r>
      </text>
    </comment>
    <comment ref="Y514" authorId="1" shapeId="0" xr:uid="{DB6E2082-E84B-41A2-8FB0-85279B8B9A91}">
      <text>
        <r>
          <rPr>
            <sz val="8"/>
            <color rgb="FF000000"/>
            <rFont val="Tahoma"/>
            <family val="2"/>
          </rPr>
          <t xml:space="preserve">Severe Warning  AA009:  Substantial Metric difference from prior year &gt;=100% </t>
        </r>
      </text>
    </comment>
    <comment ref="AC514" authorId="1" shapeId="0" xr:uid="{026FBB79-0843-4414-9C52-588BC1609503}">
      <text>
        <r>
          <rPr>
            <sz val="8"/>
            <color rgb="FF000000"/>
            <rFont val="Tahoma"/>
            <family val="2"/>
          </rPr>
          <t xml:space="preserve">Severe Warning  AA009:  Substantial Metric difference from prior year &gt;=100% </t>
        </r>
      </text>
    </comment>
    <comment ref="B515" authorId="1" shapeId="0" xr:uid="{7D123A5F-B900-45AA-BAC6-8C52A022F034}">
      <text>
        <r>
          <rPr>
            <sz val="8"/>
            <color rgb="FF000000"/>
            <rFont val="Tahoma"/>
            <family val="2"/>
          </rPr>
          <t>Moderate Warning  AA003:  Institution name is invalid.</t>
        </r>
      </text>
    </comment>
    <comment ref="I515" authorId="1" shapeId="0" xr:uid="{83A65199-741E-40EC-9BE1-897D871E53B2}">
      <text>
        <r>
          <rPr>
            <sz val="8"/>
            <color rgb="FF000000"/>
            <rFont val="Tahoma"/>
            <family val="2"/>
          </rPr>
          <t xml:space="preserve">Severe Warning  AA009:  Substantial Metric difference from prior year &gt;=100% </t>
        </r>
      </text>
    </comment>
    <comment ref="K515" authorId="1" shapeId="0" xr:uid="{AB72BD7E-C0CB-4CBA-8E17-B4A595684B77}">
      <text>
        <r>
          <rPr>
            <sz val="8"/>
            <color rgb="FF000000"/>
            <rFont val="Tahoma"/>
            <family val="2"/>
          </rPr>
          <t xml:space="preserve">Severe Warning  AA009:  Substantial Metric difference from prior year &gt;=100% </t>
        </r>
      </text>
    </comment>
    <comment ref="O515" authorId="1" shapeId="0" xr:uid="{C64DADAA-963D-408A-9BD4-3339C846D4F5}">
      <text>
        <r>
          <rPr>
            <sz val="8"/>
            <color rgb="FF000000"/>
            <rFont val="Tahoma"/>
            <family val="2"/>
          </rPr>
          <t xml:space="preserve">Severe Warning  AA009:  Substantial Metric difference from prior year &gt;=100% </t>
        </r>
      </text>
    </comment>
    <comment ref="Q515" authorId="1" shapeId="0" xr:uid="{B6FCB3D0-F046-440F-BC96-43AFA680E47A}">
      <text>
        <r>
          <rPr>
            <sz val="8"/>
            <color rgb="FF000000"/>
            <rFont val="Tahoma"/>
            <family val="2"/>
          </rPr>
          <t xml:space="preserve">Severe Warning  AA009:  Substantial Metric difference from prior year &gt;=100%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B508" authorId="0" shapeId="0" xr:uid="{3E1B2B63-C6CD-4F03-AE1C-D3193EE32CA6}">
      <text>
        <r>
          <rPr>
            <sz val="8"/>
            <color rgb="FF000000"/>
            <rFont val="Tahoma"/>
            <family val="2"/>
          </rPr>
          <t>Moderate Warning  AA003:  Institution name is invalid.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ype10ug5" type="6" refreshedVersion="3" background="1" saveData="1">
    <textPr codePage="437" sourceFile="\\THECB-AUVFS41\UserDoc$\MeadDD\My Documents\My SAS Files\SREB\QWK03864\Page5\Type10ug5.txt">
      <textFields>
        <textField/>
      </textFields>
    </textPr>
  </connection>
  <connection id="2" xr16:uid="{00000000-0015-0000-FFFF-FFFF01000000}" name="Type11gr1" type="6" refreshedVersion="4" background="1" saveData="1">
    <textPr codePage="437" sourceFile="\\THECB-AUVFS41\UserDoc$\MeadDD\My Documents\My SAS Files\SREB\QWK04245\Page5\Type11gr1.txt">
      <textFields>
        <textField/>
      </textFields>
    </textPr>
  </connection>
  <connection id="3" xr16:uid="{00000000-0015-0000-FFFF-FFFF02000000}" name="Type11gr2" type="6" refreshedVersion="4" background="1" saveData="1">
    <textPr codePage="437" sourceFile="\\THECB-AUVFS41\UserDoc$\MeadDD\My Documents\My SAS Files\SREB\QWK04245\Page5\Type11gr2.txt">
      <textFields>
        <textField/>
      </textFields>
    </textPr>
  </connection>
  <connection id="4" xr16:uid="{00000000-0015-0000-FFFF-FFFF03000000}" name="Type11gr3" type="6" refreshedVersion="4" background="1" saveData="1">
    <textPr codePage="437" sourceFile="\\THECB-AUVFS41\UserDoc$\MeadDD\My Documents\My SAS Files\SREB\QWK04245\Page5\Type11gr3.txt">
      <textFields>
        <textField/>
      </textFields>
    </textPr>
  </connection>
  <connection id="5" xr16:uid="{00000000-0015-0000-FFFF-FFFF04000000}" name="Type11gr4" type="6" refreshedVersion="4" background="1" saveData="1">
    <textPr codePage="437" sourceFile="\\THECB-AUVFS41\UserDoc$\MeadDD\My Documents\My SAS Files\SREB\QWK04245\Page5\Type11gr4.txt">
      <textFields>
        <textField/>
      </textFields>
    </textPr>
  </connection>
  <connection id="6" xr16:uid="{00000000-0015-0000-FFFF-FFFF05000000}" name="Type11gr5" type="6" refreshedVersion="4" background="1" saveData="1">
    <textPr codePage="437" sourceFile="\\THECB-AUVFS41\UserDoc$\MeadDD\My Documents\My SAS Files\SREB\QWK04245\Page5\Type11gr5.txt">
      <textFields>
        <textField/>
      </textFields>
    </textPr>
  </connection>
  <connection id="7" xr16:uid="{00000000-0015-0000-FFFF-FFFF06000000}" name="Type11ug1" type="6" refreshedVersion="4" background="1" saveData="1">
    <textPr codePage="437" sourceFile="\\THECB-AUVFS41\UserDoc$\MeadDD\My Documents\My SAS Files\SREB\QWK04245\Page5\Type11ug1.txt">
      <textFields>
        <textField/>
      </textFields>
    </textPr>
  </connection>
  <connection id="8" xr16:uid="{00000000-0015-0000-FFFF-FFFF07000000}" name="Type11ug2" type="6" refreshedVersion="4" background="1" saveData="1">
    <textPr codePage="437" sourceFile="\\THECB-AUVFS41\UserDoc$\MeadDD\My Documents\My SAS Files\SREB\QWK04245\Page5\Type11ug2.txt">
      <textFields>
        <textField/>
      </textFields>
    </textPr>
  </connection>
  <connection id="9" xr16:uid="{00000000-0015-0000-FFFF-FFFF08000000}" name="Type11ug3" type="6" refreshedVersion="4" background="1" saveData="1">
    <textPr codePage="437" sourceFile="\\THECB-AUVFS41\UserDoc$\MeadDD\My Documents\My SAS Files\SREB\QWK04245\Page5\Type11ug3.txt">
      <textFields>
        <textField/>
      </textFields>
    </textPr>
  </connection>
  <connection id="10" xr16:uid="{00000000-0015-0000-FFFF-FFFF09000000}" name="Type11ug4" type="6" refreshedVersion="4" background="1" saveData="1">
    <textPr codePage="437" sourceFile="\\THECB-AUVFS41\UserDoc$\MeadDD\My Documents\My SAS Files\SREB\QWK04245\Page5\Type11ug4.txt">
      <textFields>
        <textField/>
      </textFields>
    </textPr>
  </connection>
  <connection id="11" xr16:uid="{00000000-0015-0000-FFFF-FFFF0A000000}" name="Type11ug5" type="6" refreshedVersion="4" background="1" saveData="1">
    <textPr codePage="437" sourceFile="\\THECB-AUVFS41\UserDoc$\MeadDD\My Documents\My SAS Files\SREB\QWK04245\Page5\Type11ug5.txt">
      <textFields>
        <textField/>
      </textFields>
    </textPr>
  </connection>
  <connection id="12" xr16:uid="{00000000-0015-0000-FFFF-FFFF0B000000}" name="Type13gr11" type="6" refreshedVersion="5" background="1" saveData="1">
    <textPr codePage="437" sourceFile="Z:\Mead\SASdocs\SREB\QWK04869\Page5\Type13gr1.txt">
      <textFields>
        <textField/>
      </textFields>
    </textPr>
  </connection>
  <connection id="13" xr16:uid="{DC4BD939-60DF-4A7A-BBE8-794863BDDDDB}" name="Type13gr111" type="6" refreshedVersion="5" background="1" saveData="1">
    <textPr codePage="437" sourceFile="Z:\Mead\SASdocs\SREB\QWK04869\Page5\Type13gr1.txt">
      <textFields>
        <textField/>
      </textFields>
    </textPr>
  </connection>
  <connection id="14" xr16:uid="{46599029-B8A8-4698-8284-11612BC71329}" name="Type13gr112" type="6" refreshedVersion="5" background="1" saveData="1">
    <textPr codePage="437" sourceFile="Z:\Mead\SASdocs\SREB\QWK04869\Page5\Type13gr1.txt">
      <textFields>
        <textField/>
      </textFields>
    </textPr>
  </connection>
  <connection id="15" xr16:uid="{6922E060-ECE0-4263-B11B-17F3BF26E7C0}" name="Type13gr113" type="6" refreshedVersion="5" background="1" saveData="1">
    <textPr codePage="437" sourceFile="Z:\Mead\SASdocs\SREB\QWK04869\Page5\Type13gr1.txt">
      <textFields>
        <textField/>
      </textFields>
    </textPr>
  </connection>
  <connection id="16" xr16:uid="{00000000-0015-0000-FFFF-FFFF0C000000}" name="Type13gr21" type="6" refreshedVersion="5" background="1" saveData="1">
    <textPr codePage="437" sourceFile="Z:\Mead\SASdocs\SREB\QWK04869\Page5\Type13gr2.txt">
      <textFields>
        <textField/>
      </textFields>
    </textPr>
  </connection>
  <connection id="17" xr16:uid="{9D9D3E2E-C5C7-4F48-BBC2-FC341B2AF4C5}" name="Type13gr211" type="6" refreshedVersion="5" background="1" saveData="1">
    <textPr codePage="437" sourceFile="Z:\Mead\SASdocs\SREB\QWK04869\Page5\Type13gr2.txt">
      <textFields>
        <textField/>
      </textFields>
    </textPr>
  </connection>
  <connection id="18" xr16:uid="{D143005A-958A-4828-B84E-14AE870AC40F}" name="Type13gr212" type="6" refreshedVersion="5" background="1" saveData="1">
    <textPr codePage="437" sourceFile="Z:\Mead\SASdocs\SREB\QWK04869\Page5\Type13gr2.txt">
      <textFields>
        <textField/>
      </textFields>
    </textPr>
  </connection>
  <connection id="19" xr16:uid="{5EFDE836-0379-4E2C-958C-256BA0F11841}" name="Type13gr213" type="6" refreshedVersion="5" background="1" saveData="1">
    <textPr codePage="437" sourceFile="Z:\Mead\SASdocs\SREB\QWK04869\Page5\Type13gr2.txt">
      <textFields>
        <textField/>
      </textFields>
    </textPr>
  </connection>
  <connection id="20" xr16:uid="{00000000-0015-0000-FFFF-FFFF0D000000}" name="Type13gr31" type="6" refreshedVersion="5" background="1" saveData="1">
    <textPr codePage="437" sourceFile="Z:\Mead\SASdocs\SREB\QWK04869\Page5\Type13gr3.txt">
      <textFields>
        <textField/>
      </textFields>
    </textPr>
  </connection>
  <connection id="21" xr16:uid="{1748F162-46CB-4EB6-BC10-9D6303C81F27}" name="Type13gr311" type="6" refreshedVersion="5" background="1" saveData="1">
    <textPr codePage="437" sourceFile="Z:\Mead\SASdocs\SREB\QWK04869\Page5\Type13gr3.txt">
      <textFields>
        <textField/>
      </textFields>
    </textPr>
  </connection>
  <connection id="22" xr16:uid="{A8324EAA-9AF8-4B6E-BF61-5777666AE7DE}" name="Type13gr312" type="6" refreshedVersion="5" background="1" saveData="1">
    <textPr codePage="437" sourceFile="Z:\Mead\SASdocs\SREB\QWK04869\Page5\Type13gr3.txt">
      <textFields>
        <textField/>
      </textFields>
    </textPr>
  </connection>
  <connection id="23" xr16:uid="{46605000-99B8-4C36-8747-7728778A48C0}" name="Type13gr313" type="6" refreshedVersion="5" background="1" saveData="1">
    <textPr codePage="437" sourceFile="Z:\Mead\SASdocs\SREB\QWK04869\Page5\Type13gr3.txt">
      <textFields>
        <textField/>
      </textFields>
    </textPr>
  </connection>
  <connection id="24" xr16:uid="{00000000-0015-0000-FFFF-FFFF0E000000}" name="Type13gr41" type="6" refreshedVersion="5" background="1" saveData="1">
    <textPr codePage="437" sourceFile="Z:\Mead\SASdocs\SREB\QWK04869\Page5\Type13gr4.txt">
      <textFields>
        <textField/>
      </textFields>
    </textPr>
  </connection>
  <connection id="25" xr16:uid="{E9187DE1-9414-4270-9469-BBA85A535E23}" name="Type13gr411" type="6" refreshedVersion="5" background="1" saveData="1">
    <textPr codePage="437" sourceFile="Z:\Mead\SASdocs\SREB\QWK04869\Page5\Type13gr4.txt">
      <textFields>
        <textField/>
      </textFields>
    </textPr>
  </connection>
  <connection id="26" xr16:uid="{89819076-8C6A-432E-97BB-F0E67A4F1A09}" name="Type13gr412" type="6" refreshedVersion="5" background="1" saveData="1">
    <textPr codePage="437" sourceFile="Z:\Mead\SASdocs\SREB\QWK04869\Page5\Type13gr4.txt">
      <textFields>
        <textField/>
      </textFields>
    </textPr>
  </connection>
  <connection id="27" xr16:uid="{9BEF3C2E-DFD4-4218-8B85-E41619F68F36}" name="Type13gr413" type="6" refreshedVersion="5" background="1" saveData="1">
    <textPr codePage="437" sourceFile="Z:\Mead\SASdocs\SREB\QWK04869\Page5\Type13gr4.txt">
      <textFields>
        <textField/>
      </textFields>
    </textPr>
  </connection>
  <connection id="28" xr16:uid="{00000000-0015-0000-FFFF-FFFF0F000000}" name="Type13gr51" type="6" refreshedVersion="5" background="1" saveData="1">
    <textPr codePage="437" sourceFile="Z:\Mead\SASdocs\SREB\QWK04869\Page5\Type13gr5.txt">
      <textFields>
        <textField/>
      </textFields>
    </textPr>
  </connection>
  <connection id="29" xr16:uid="{1BCAE447-AD36-4E84-AFAC-B0D0B8A2D05E}" name="Type13gr511" type="6" refreshedVersion="5" background="1" saveData="1">
    <textPr codePage="437" sourceFile="Z:\Mead\SASdocs\SREB\QWK04869\Page5\Type13gr5.txt">
      <textFields>
        <textField/>
      </textFields>
    </textPr>
  </connection>
  <connection id="30" xr16:uid="{BC63B5A0-03DE-476E-BE67-B074564647E7}" name="Type13gr512" type="6" refreshedVersion="5" background="1" saveData="1">
    <textPr codePage="437" sourceFile="Z:\Mead\SASdocs\SREB\QWK04869\Page5\Type13gr5.txt">
      <textFields>
        <textField/>
      </textFields>
    </textPr>
  </connection>
  <connection id="31" xr16:uid="{F34820EB-A0CA-4A5E-A347-039992982247}" name="Type13gr513" type="6" refreshedVersion="5" background="1" saveData="1">
    <textPr codePage="437" sourceFile="Z:\Mead\SASdocs\SREB\QWK04869\Page5\Type13gr5.txt">
      <textFields>
        <textField/>
      </textFields>
    </textPr>
  </connection>
  <connection id="32" xr16:uid="{00000000-0015-0000-FFFF-FFFF10000000}" name="Type13ug11" type="6" refreshedVersion="5" background="1" saveData="1">
    <textPr codePage="437" sourceFile="Z:\Mead\SASdocs\SREB\QWK04869\Page5\Type13ug1.txt">
      <textFields>
        <textField/>
      </textFields>
    </textPr>
  </connection>
  <connection id="33" xr16:uid="{6A8FFFFF-E1B0-42DF-8D5C-28DD2B18E94C}" name="Type13ug111" type="6" refreshedVersion="5" background="1" saveData="1">
    <textPr codePage="437" sourceFile="Z:\Mead\SASdocs\SREB\QWK04869\Page5\Type13ug1.txt">
      <textFields>
        <textField/>
      </textFields>
    </textPr>
  </connection>
  <connection id="34" xr16:uid="{B8502FA5-B2CE-49F7-85FE-7870E6BF1866}" name="Type13ug112" type="6" refreshedVersion="5" background="1" saveData="1">
    <textPr codePage="437" sourceFile="Z:\Mead\SASdocs\SREB\QWK04869\Page5\Type13ug1.txt">
      <textFields>
        <textField/>
      </textFields>
    </textPr>
  </connection>
  <connection id="35" xr16:uid="{918D0A1B-68AE-476E-8F12-E9CD7EEBC07D}" name="Type13ug113" type="6" refreshedVersion="5" background="1" saveData="1">
    <textPr codePage="437" sourceFile="Z:\Mead\SASdocs\SREB\QWK04869\Page5\Type13ug1.txt">
      <textFields>
        <textField/>
      </textFields>
    </textPr>
  </connection>
  <connection id="36" xr16:uid="{00000000-0015-0000-FFFF-FFFF11000000}" name="Type13ug21" type="6" refreshedVersion="5" background="1" saveData="1">
    <textPr codePage="437" sourceFile="Z:\Mead\SASdocs\SREB\QWK04869\Page5\Type13ug2.txt">
      <textFields>
        <textField/>
      </textFields>
    </textPr>
  </connection>
  <connection id="37" xr16:uid="{EC626C72-64FB-402E-9D16-E66C74B6538A}" name="Type13ug211" type="6" refreshedVersion="5" background="1" saveData="1">
    <textPr codePage="437" sourceFile="Z:\Mead\SASdocs\SREB\QWK04869\Page5\Type13ug2.txt">
      <textFields>
        <textField/>
      </textFields>
    </textPr>
  </connection>
  <connection id="38" xr16:uid="{593D2F52-127A-4BB7-BD78-29ABAAE1AB00}" name="Type13ug212" type="6" refreshedVersion="5" background="1" saveData="1">
    <textPr codePage="437" sourceFile="Z:\Mead\SASdocs\SREB\QWK04869\Page5\Type13ug2.txt">
      <textFields>
        <textField/>
      </textFields>
    </textPr>
  </connection>
  <connection id="39" xr16:uid="{8186C568-6C56-4133-BE10-C57F490D8B89}" name="Type13ug213" type="6" refreshedVersion="5" background="1" saveData="1">
    <textPr codePage="437" sourceFile="Z:\Mead\SASdocs\SREB\QWK04869\Page5\Type13ug2.txt">
      <textFields>
        <textField/>
      </textFields>
    </textPr>
  </connection>
  <connection id="40" xr16:uid="{00000000-0015-0000-FFFF-FFFF12000000}" name="Type13ug31" type="6" refreshedVersion="5" background="1" saveData="1">
    <textPr codePage="437" sourceFile="Z:\Mead\SASdocs\SREB\QWK04869\Page5\Type13ug3.txt">
      <textFields>
        <textField/>
      </textFields>
    </textPr>
  </connection>
  <connection id="41" xr16:uid="{E2C49DAE-57F5-4676-9A48-176E33A9DE9C}" name="Type13ug311" type="6" refreshedVersion="5" background="1" saveData="1">
    <textPr codePage="437" sourceFile="Z:\Mead\SASdocs\SREB\QWK04869\Page5\Type13ug3.txt">
      <textFields>
        <textField/>
      </textFields>
    </textPr>
  </connection>
  <connection id="42" xr16:uid="{5924B6CF-1DF6-4990-95CF-3953878055BF}" name="Type13ug312" type="6" refreshedVersion="5" background="1" saveData="1">
    <textPr codePage="437" sourceFile="Z:\Mead\SASdocs\SREB\QWK04869\Page5\Type13ug3.txt">
      <textFields>
        <textField/>
      </textFields>
    </textPr>
  </connection>
  <connection id="43" xr16:uid="{312828F5-C76D-4D0E-BE3D-82F0BFA56F91}" name="Type13ug313" type="6" refreshedVersion="5" background="1" saveData="1">
    <textPr codePage="437" sourceFile="Z:\Mead\SASdocs\SREB\QWK04869\Page5\Type13ug3.txt">
      <textFields>
        <textField/>
      </textFields>
    </textPr>
  </connection>
  <connection id="44" xr16:uid="{00000000-0015-0000-FFFF-FFFF13000000}" name="Type13ug41" type="6" refreshedVersion="5" background="1" saveData="1">
    <textPr codePage="437" sourceFile="Z:\Mead\SASdocs\SREB\QWK04869\Page5\Type13ug4.txt">
      <textFields>
        <textField/>
      </textFields>
    </textPr>
  </connection>
  <connection id="45" xr16:uid="{B17F5B95-7E9C-4563-96E3-C684DD7B091E}" name="Type13ug411" type="6" refreshedVersion="5" background="1" saveData="1">
    <textPr codePage="437" sourceFile="Z:\Mead\SASdocs\SREB\QWK04869\Page5\Type13ug4.txt">
      <textFields>
        <textField/>
      </textFields>
    </textPr>
  </connection>
  <connection id="46" xr16:uid="{C0C5EFE6-4549-409F-835A-59F85A68B100}" name="Type13ug412" type="6" refreshedVersion="5" background="1" saveData="1">
    <textPr codePage="437" sourceFile="Z:\Mead\SASdocs\SREB\QWK04869\Page5\Type13ug4.txt">
      <textFields>
        <textField/>
      </textFields>
    </textPr>
  </connection>
  <connection id="47" xr16:uid="{2F92A9A7-DA01-4BDA-A0E4-D66A0BE6C067}" name="Type13ug413" type="6" refreshedVersion="5" background="1" saveData="1">
    <textPr codePage="437" sourceFile="Z:\Mead\SASdocs\SREB\QWK04869\Page5\Type13ug4.txt">
      <textFields>
        <textField/>
      </textFields>
    </textPr>
  </connection>
  <connection id="48" xr16:uid="{00000000-0015-0000-FFFF-FFFF14000000}" name="Type13ug51" type="6" refreshedVersion="5" background="1" saveData="1">
    <textPr codePage="437" sourceFile="Z:\Mead\SASdocs\SREB\QWK04869\Page5\Type13ug5.txt">
      <textFields>
        <textField/>
      </textFields>
    </textPr>
  </connection>
  <connection id="49" xr16:uid="{D4108E0D-D531-4C26-8926-122C60F4ACCD}" name="Type13ug511" type="6" refreshedVersion="5" background="1" saveData="1">
    <textPr codePage="437" sourceFile="Z:\Mead\SASdocs\SREB\QWK04869\Page5\Type13ug5.txt">
      <textFields>
        <textField/>
      </textFields>
    </textPr>
  </connection>
  <connection id="50" xr16:uid="{A8F88537-00E8-4635-B220-35A65ECAEF1A}" name="Type13ug512" type="6" refreshedVersion="5" background="1" saveData="1">
    <textPr codePage="437" sourceFile="Z:\Mead\SASdocs\SREB\QWK04869\Page5\Type13ug5.txt">
      <textFields>
        <textField/>
      </textFields>
    </textPr>
  </connection>
  <connection id="51" xr16:uid="{7B543A42-A491-496C-9269-735CBA320BAF}" name="Type13ug513" type="6" refreshedVersion="5" background="1" saveData="1">
    <textPr codePage="437" sourceFile="Z:\Mead\SASdocs\SREB\QWK04869\Page5\Type13ug5.txt">
      <textFields>
        <textField/>
      </textFields>
    </textPr>
  </connection>
</connections>
</file>

<file path=xl/sharedStrings.xml><?xml version="1.0" encoding="utf-8"?>
<sst xmlns="http://schemas.openxmlformats.org/spreadsheetml/2006/main" count="5134" uniqueCount="924">
  <si>
    <r>
      <rPr>
        <b/>
        <sz val="14"/>
        <color theme="0"/>
        <rFont val="Arial"/>
        <family val="2"/>
      </rPr>
      <t>Part 5: Credit</t>
    </r>
    <r>
      <rPr>
        <b/>
        <sz val="14"/>
        <color rgb="FFFF0000"/>
        <rFont val="Arial"/>
        <family val="2"/>
      </rPr>
      <t xml:space="preserve"> </t>
    </r>
    <r>
      <rPr>
        <b/>
        <sz val="14"/>
        <color theme="0"/>
        <rFont val="Arial"/>
        <family val="2"/>
      </rPr>
      <t>Hours by Mode of Instruction</t>
    </r>
  </si>
  <si>
    <t>Undergraduate Credit Hours</t>
  </si>
  <si>
    <t>Graduate Credit Hours</t>
  </si>
  <si>
    <t>Calculated</t>
  </si>
  <si>
    <t>e-Learning (more than 50% of course content is electronically delivered)</t>
  </si>
  <si>
    <t>Comments:  Please look for comments and answer questions; add comments as needed</t>
  </si>
  <si>
    <r>
      <rPr>
        <b/>
        <sz val="10"/>
        <color rgb="FF000000"/>
        <rFont val="Arial"/>
        <family val="2"/>
      </rPr>
      <t xml:space="preserve">On-Campus "Traditional" Instruction
 </t>
    </r>
    <r>
      <rPr>
        <sz val="10"/>
        <color rgb="FF000000"/>
        <rFont val="Arial"/>
        <family val="2"/>
      </rPr>
      <t>(significant site attendance required--50% or less of course content is electronically delivered)</t>
    </r>
  </si>
  <si>
    <r>
      <rPr>
        <b/>
        <sz val="10"/>
        <color rgb="FF000000"/>
        <rFont val="Arial"/>
        <family val="2"/>
      </rPr>
      <t xml:space="preserve">Off-Campus
(in-state or out-of-state sites) "Traditional" Instruction 
</t>
    </r>
    <r>
      <rPr>
        <sz val="10"/>
        <color rgb="FF000000"/>
        <rFont val="Arial"/>
        <family val="2"/>
      </rPr>
      <t>(significant site attendance required--50% or less of course content is electronically delivered)</t>
    </r>
  </si>
  <si>
    <t>Web</t>
  </si>
  <si>
    <r>
      <rPr>
        <b/>
        <sz val="10"/>
        <color rgb="FF000000"/>
        <rFont val="Arial"/>
        <family val="2"/>
      </rPr>
      <t xml:space="preserve">Site-to-Site, 2-Way, Audio/Video </t>
    </r>
    <r>
      <rPr>
        <sz val="10"/>
        <color rgb="FF000000"/>
        <rFont val="Arial"/>
        <family val="2"/>
      </rPr>
      <t>(compressed video)</t>
    </r>
  </si>
  <si>
    <r>
      <rPr>
        <b/>
        <sz val="10"/>
        <color indexed="12"/>
        <rFont val="Arial"/>
        <family val="2"/>
      </rPr>
      <t xml:space="preserve">Other </t>
    </r>
    <r>
      <rPr>
        <sz val="10"/>
        <color indexed="12"/>
        <rFont val="Arial"/>
        <family val="2"/>
      </rPr>
      <t xml:space="preserve">(Satellite, Cable, Broadcast TV/Radio, Closed-Circuit, Video Tapes, CD ROM)             </t>
    </r>
  </si>
  <si>
    <r>
      <rPr>
        <b/>
        <sz val="10"/>
        <color indexed="12"/>
        <rFont val="Arial"/>
        <family val="2"/>
      </rPr>
      <t xml:space="preserve">Site-to-Site, 2-Way, Audio/Video </t>
    </r>
    <r>
      <rPr>
        <sz val="10"/>
        <color indexed="12"/>
        <rFont val="Arial"/>
        <family val="2"/>
      </rPr>
      <t>(compressed video)</t>
    </r>
  </si>
  <si>
    <r>
      <rPr>
        <b/>
        <sz val="10"/>
        <color indexed="12"/>
        <rFont val="Arial"/>
        <family val="2"/>
      </rPr>
      <t xml:space="preserve">Other
</t>
    </r>
    <r>
      <rPr>
        <sz val="10"/>
        <color indexed="12"/>
        <rFont val="Arial"/>
        <family val="2"/>
      </rPr>
      <t xml:space="preserve"> (Satellite, Cable, Broadcast TV/Radio, Closed-Circuit, Video Tapes, CD ROM)            </t>
    </r>
    <r>
      <rPr>
        <b/>
        <sz val="10"/>
        <color indexed="12"/>
        <rFont val="Arial"/>
        <family val="2"/>
      </rPr>
      <t xml:space="preserve"> </t>
    </r>
  </si>
  <si>
    <r>
      <rPr>
        <b/>
        <sz val="10"/>
        <color rgb="FF000000"/>
        <rFont val="Arial"/>
        <family val="2"/>
      </rPr>
      <t xml:space="preserve">Correspondence
</t>
    </r>
    <r>
      <rPr>
        <sz val="10"/>
        <color rgb="FF000000"/>
        <rFont val="Arial"/>
        <family val="2"/>
      </rPr>
      <t xml:space="preserve">(no significant site attendance required-less than 50% of the course content is electronically delivered)     </t>
    </r>
  </si>
  <si>
    <t>State</t>
  </si>
  <si>
    <t>Institution</t>
  </si>
  <si>
    <t>Classification Notes</t>
  </si>
  <si>
    <t>IPEDS #</t>
  </si>
  <si>
    <t>Category</t>
  </si>
  <si>
    <t>Note</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</si>
  <si>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</si>
  <si>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</si>
  <si>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</si>
  <si>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</si>
  <si>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</si>
  <si>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</si>
  <si>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</si>
  <si>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</si>
  <si>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</si>
  <si>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</si>
  <si>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</si>
  <si>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</si>
  <si>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</si>
  <si>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</si>
  <si>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</si>
  <si>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</si>
  <si>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</si>
  <si>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</si>
  <si>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</si>
  <si>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</si>
  <si>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</si>
  <si>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</si>
  <si>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</si>
  <si>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</si>
  <si>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</si>
  <si>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</si>
  <si>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</si>
  <si>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</si>
  <si>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</si>
  <si>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</si>
  <si>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</si>
  <si>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</si>
  <si>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</si>
  <si>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</si>
  <si>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</si>
  <si>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</si>
  <si>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</si>
  <si>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</si>
  <si>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</si>
  <si>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</si>
  <si>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</si>
  <si>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</si>
  <si>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</si>
  <si>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</si>
  <si>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</si>
  <si>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</si>
  <si>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Bevill State Community College</t>
  </si>
  <si>
    <t>Bishop State Community College</t>
  </si>
  <si>
    <t>Gadsden State Community College</t>
  </si>
  <si>
    <t xml:space="preserve">Lawson State Community College </t>
  </si>
  <si>
    <t>Northwest-Shoals Community College</t>
  </si>
  <si>
    <t>Shelton State Community College</t>
  </si>
  <si>
    <t>Southern Union State Community College</t>
  </si>
  <si>
    <t>Central Alabama Community College</t>
  </si>
  <si>
    <t>George Corley Wallace State Community College - Selma</t>
  </si>
  <si>
    <t xml:space="preserve">Lurleen B. Wallace Community College </t>
  </si>
  <si>
    <t xml:space="preserve">Snead State Community College </t>
  </si>
  <si>
    <t xml:space="preserve">J.F. Ingram State Technical College </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</si>
  <si>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</si>
  <si>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</si>
  <si>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</si>
  <si>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</si>
  <si>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</si>
  <si>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</si>
  <si>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</si>
  <si>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</si>
  <si>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</si>
  <si>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</si>
  <si>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</si>
  <si>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</si>
  <si>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</si>
  <si>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</si>
  <si>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</si>
  <si>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</si>
  <si>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</si>
  <si>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</si>
  <si>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</si>
  <si>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</si>
  <si>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</si>
  <si>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</si>
  <si>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</si>
  <si>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</si>
  <si>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</si>
  <si>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</si>
  <si>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</si>
  <si>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</si>
  <si>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</si>
  <si>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</si>
  <si>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Morrilton</t>
  </si>
  <si>
    <t>University of Arkansas for Medical Sciences</t>
  </si>
  <si>
    <t>DE</t>
  </si>
  <si>
    <t>University of Delaware</t>
  </si>
  <si>
    <t>Delaware State University</t>
  </si>
  <si>
    <t>Delaware Technical and Community College--Terry</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</si>
  <si>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</si>
  <si>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</si>
  <si>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</si>
  <si>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</si>
  <si>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</si>
  <si>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</si>
  <si>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</si>
  <si>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</si>
  <si>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</si>
  <si>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</si>
  <si>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</si>
  <si>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</si>
  <si>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</si>
  <si>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</si>
  <si>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</si>
  <si>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</si>
  <si>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</si>
  <si>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</si>
  <si>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</si>
  <si>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</si>
  <si>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</si>
  <si>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</si>
  <si>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</si>
  <si>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</si>
  <si>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</si>
  <si>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</si>
  <si>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</si>
  <si>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</si>
  <si>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</si>
  <si>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</si>
  <si>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</si>
  <si>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</si>
  <si>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</si>
  <si>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</si>
  <si>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</si>
  <si>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</si>
  <si>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</si>
  <si>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</si>
  <si>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</si>
  <si>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</si>
  <si>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</si>
  <si>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</si>
  <si>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College of Coastal Georgia </t>
  </si>
  <si>
    <t xml:space="preserve">Dalton State College </t>
  </si>
  <si>
    <t>Georgia Gwinnett College</t>
  </si>
  <si>
    <t>Middle Georgia State College</t>
  </si>
  <si>
    <t xml:space="preserve">Abraham Baldwin Agricultural College </t>
  </si>
  <si>
    <t>Atlanta Metropolitan State College</t>
  </si>
  <si>
    <t>East Georgia State College</t>
  </si>
  <si>
    <t>Georgia Highlands College</t>
  </si>
  <si>
    <t xml:space="preserve">Gordon State College </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</si>
  <si>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</si>
  <si>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</si>
  <si>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</si>
  <si>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</si>
  <si>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</si>
  <si>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</si>
  <si>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</si>
  <si>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</si>
  <si>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</si>
  <si>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</si>
  <si>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</si>
  <si>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</si>
  <si>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</si>
  <si>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</si>
  <si>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</si>
  <si>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</si>
  <si>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</si>
  <si>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</si>
  <si>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</si>
  <si>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</si>
  <si>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</si>
  <si>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</si>
  <si>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</si>
  <si>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</si>
  <si>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</si>
  <si>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</si>
  <si>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</si>
  <si>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</si>
  <si>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</si>
  <si>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</si>
  <si>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</si>
  <si>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</si>
  <si>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</si>
  <si>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</si>
  <si>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</si>
  <si>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</si>
  <si>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</si>
  <si>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</si>
  <si>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</si>
  <si>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</si>
  <si>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</si>
  <si>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</si>
  <si>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</si>
  <si>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</si>
  <si>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</si>
  <si>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</si>
  <si>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</si>
  <si>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</si>
  <si>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</si>
  <si>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</si>
  <si>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</si>
  <si>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</si>
  <si>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</si>
  <si>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</si>
  <si>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</si>
  <si>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</si>
  <si>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</si>
  <si>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</si>
  <si>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</si>
  <si>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</si>
  <si>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</si>
  <si>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</si>
  <si>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</si>
  <si>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</si>
  <si>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</si>
  <si>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</si>
  <si>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</si>
  <si>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</si>
  <si>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</si>
  <si>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</si>
  <si>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</si>
  <si>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</si>
  <si>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</si>
  <si>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</si>
  <si>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</si>
  <si>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Sowela Technical Community College</t>
  </si>
  <si>
    <t>Louisiana State University Health Sciences Center - New Orleans</t>
  </si>
  <si>
    <t>Louisiana State University Health Sciences Center - Shreveport</t>
  </si>
  <si>
    <t>MD</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</si>
  <si>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</si>
  <si>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</si>
  <si>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</si>
  <si>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</si>
  <si>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</si>
  <si>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</si>
  <si>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</si>
  <si>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</si>
  <si>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</si>
  <si>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</si>
  <si>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</si>
  <si>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</si>
  <si>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</si>
  <si>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</si>
  <si>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</si>
  <si>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</si>
  <si>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</si>
  <si>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</si>
  <si>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</si>
  <si>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</si>
  <si>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</si>
  <si>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</si>
  <si>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</si>
  <si>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</si>
  <si>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</si>
  <si>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</si>
  <si>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Baltimore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</si>
  <si>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</si>
  <si>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</si>
  <si>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</si>
  <si>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</si>
  <si>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</si>
  <si>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</si>
  <si>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</si>
  <si>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</si>
  <si>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</si>
  <si>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</si>
  <si>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</si>
  <si>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</si>
  <si>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</si>
  <si>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</si>
  <si>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</si>
  <si>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</si>
  <si>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</si>
  <si>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</si>
  <si>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</si>
  <si>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</si>
  <si>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</si>
  <si>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</si>
  <si>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</si>
  <si>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</si>
  <si>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</si>
  <si>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</si>
  <si>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</si>
  <si>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</si>
  <si>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</si>
  <si>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</si>
  <si>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</si>
  <si>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</si>
  <si>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</si>
  <si>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</si>
  <si>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</si>
  <si>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</si>
  <si>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</si>
  <si>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</si>
  <si>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</si>
  <si>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 xml:space="preserve">Craven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</si>
  <si>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</si>
  <si>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</si>
  <si>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</si>
  <si>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</si>
  <si>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</si>
  <si>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</si>
  <si>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</si>
  <si>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</si>
  <si>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</si>
  <si>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</si>
  <si>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</si>
  <si>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</si>
  <si>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</si>
  <si>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</si>
  <si>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</si>
  <si>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</si>
  <si>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</si>
  <si>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</si>
  <si>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</si>
  <si>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</si>
  <si>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</si>
  <si>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</si>
  <si>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</si>
  <si>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</si>
  <si>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</si>
  <si>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</si>
  <si>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</si>
  <si>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</si>
  <si>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</si>
  <si>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</si>
  <si>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</si>
  <si>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</si>
  <si>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</si>
  <si>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</si>
  <si>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</si>
  <si>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</si>
  <si>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</si>
  <si>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</si>
  <si>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</si>
  <si>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</si>
  <si>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</si>
  <si>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OK</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</si>
  <si>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</si>
  <si>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</si>
  <si>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</si>
  <si>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</si>
  <si>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</si>
  <si>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</si>
  <si>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</si>
  <si>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</si>
  <si>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</si>
  <si>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</si>
  <si>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</si>
  <si>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</si>
  <si>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</si>
  <si>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</si>
  <si>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</si>
  <si>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</si>
  <si>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</si>
  <si>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</si>
  <si>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</si>
  <si>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</si>
  <si>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</si>
  <si>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</si>
  <si>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</si>
  <si>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</si>
  <si>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</si>
  <si>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</si>
  <si>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</si>
  <si>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</si>
  <si>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</si>
  <si>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</si>
  <si>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</si>
  <si>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</si>
  <si>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</si>
  <si>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</si>
  <si>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</si>
  <si>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</si>
  <si>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</si>
  <si>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</si>
  <si>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</si>
  <si>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</si>
  <si>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</si>
  <si>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</si>
  <si>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</si>
  <si>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</si>
  <si>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</si>
  <si>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</si>
  <si>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</si>
  <si>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</si>
  <si>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</si>
  <si>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</si>
  <si>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</si>
  <si>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</si>
  <si>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</si>
  <si>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</si>
  <si>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</si>
  <si>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</si>
  <si>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</si>
  <si>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</si>
  <si>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</si>
  <si>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</si>
  <si>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</si>
  <si>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</si>
  <si>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</si>
  <si>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</si>
  <si>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</si>
  <si>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</si>
  <si>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</si>
  <si>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</si>
  <si>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</si>
  <si>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</si>
  <si>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</si>
  <si>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</si>
  <si>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</si>
  <si>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</si>
  <si>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</si>
  <si>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</si>
  <si>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</si>
  <si>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</si>
  <si>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</si>
  <si>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</si>
  <si>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</si>
  <si>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</si>
  <si>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</si>
  <si>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TX</t>
  </si>
  <si>
    <t>N/A</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</si>
  <si>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</si>
  <si>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</si>
  <si>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</si>
  <si>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</si>
  <si>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</si>
  <si>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</si>
  <si>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</si>
  <si>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</si>
  <si>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</si>
  <si>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</si>
  <si>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</si>
  <si>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</si>
  <si>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</si>
  <si>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</si>
  <si>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</si>
  <si>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</si>
  <si>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</si>
  <si>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</si>
  <si>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</si>
  <si>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</si>
  <si>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</si>
  <si>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</si>
  <si>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</si>
  <si>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</si>
  <si>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</si>
  <si>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</si>
  <si>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</si>
  <si>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</si>
  <si>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</si>
  <si>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</si>
  <si>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</si>
  <si>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</si>
  <si>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</si>
  <si>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</si>
  <si>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</si>
  <si>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</si>
  <si>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</si>
  <si>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</si>
  <si>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</si>
  <si>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</si>
  <si>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</si>
  <si>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</si>
  <si>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</si>
  <si>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</si>
  <si>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</si>
  <si>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</si>
  <si>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</si>
  <si>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</si>
  <si>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</si>
  <si>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</si>
  <si>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</si>
  <si>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</si>
  <si>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</si>
  <si>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</si>
  <si>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</si>
  <si>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</si>
  <si>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</si>
  <si>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</si>
  <si>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</si>
  <si>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</si>
  <si>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Ben Franklin Career Center</t>
  </si>
  <si>
    <t>Cabell County Career Technology Center</t>
  </si>
  <si>
    <t>Fayette Institute of Technology</t>
  </si>
  <si>
    <t xml:space="preserve">Fred W. Eberle Technical Center </t>
  </si>
  <si>
    <t xml:space="preserve">Garnet Career Center </t>
  </si>
  <si>
    <t>James Rumsey Technical Institute</t>
  </si>
  <si>
    <t>John D. Rockefeller IV Career Center</t>
  </si>
  <si>
    <t>Mercer County Technical Education Center</t>
  </si>
  <si>
    <t xml:space="preserve">Monongalia County Technical Education Center </t>
  </si>
  <si>
    <t>Putnam Career and Technical Center</t>
  </si>
  <si>
    <t>Ralph R. Willis Career and Technical Center</t>
  </si>
  <si>
    <t>Roane-Jackson Technical Center</t>
  </si>
  <si>
    <t>South Branch Career &amp; Technical Center</t>
  </si>
  <si>
    <t>United Technical Center</t>
  </si>
  <si>
    <t>Mingo Extended Learning Center</t>
  </si>
  <si>
    <t>Randolph Technical Center</t>
  </si>
  <si>
    <t>Wood County School of Practical Nursing</t>
  </si>
  <si>
    <t>NOT a Review Table</t>
  </si>
  <si>
    <t>type2</t>
  </si>
  <si>
    <t>Four-Year</t>
  </si>
  <si>
    <t>Four-Year Total</t>
  </si>
  <si>
    <t>14 Total</t>
  </si>
  <si>
    <t>Two-Year</t>
  </si>
  <si>
    <t>Two-Year Total</t>
  </si>
  <si>
    <t>Techncial</t>
  </si>
  <si>
    <t>Techncial Total</t>
  </si>
  <si>
    <t>Data</t>
  </si>
  <si>
    <t>Sum of OLD-Tot UG SCH Calc</t>
  </si>
  <si>
    <t>Sum of NEW-Tot UG SCH Calc</t>
  </si>
  <si>
    <t>Sum of Old UG E-Learning</t>
  </si>
  <si>
    <t>Sum of New UG E-Learning</t>
  </si>
  <si>
    <t>Sum of Old-Tot G SCH Calc</t>
  </si>
  <si>
    <t>Sum of New-Tot G SCH Calc</t>
  </si>
  <si>
    <t>Sum of Old G E-Learning</t>
  </si>
  <si>
    <t>Sum of New G E-Learning</t>
  </si>
  <si>
    <t xml:space="preserve"> </t>
  </si>
  <si>
    <t>Four-Year +</t>
  </si>
  <si>
    <t>Four-Year + Total</t>
  </si>
  <si>
    <t>Technical</t>
  </si>
  <si>
    <t>Technical Total</t>
  </si>
  <si>
    <t>Grand Total</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</si>
  <si>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</si>
  <si>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</si>
  <si>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</si>
  <si>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</si>
  <si>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</si>
  <si>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</si>
  <si>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</si>
  <si>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</si>
  <si>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</si>
  <si>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</si>
  <si>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</si>
  <si>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</si>
  <si>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</si>
  <si>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</si>
  <si>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</si>
  <si>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</si>
  <si>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</si>
  <si>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</si>
  <si>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</si>
  <si>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</si>
  <si>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</si>
  <si>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</si>
  <si>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</si>
  <si>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</si>
  <si>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</si>
  <si>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</si>
  <si>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</si>
  <si>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</si>
  <si>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</si>
  <si>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</si>
  <si>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</si>
  <si>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</si>
  <si>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</si>
  <si>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</si>
  <si>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</si>
  <si>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</si>
  <si>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</si>
  <si>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</si>
  <si>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</si>
  <si>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</si>
  <si>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</si>
  <si>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</si>
  <si>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</si>
  <si>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</si>
  <si>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</si>
  <si>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</si>
  <si>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</si>
  <si>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</si>
  <si>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</si>
  <si>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</si>
  <si>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</si>
  <si>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</si>
  <si>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</si>
  <si>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</si>
  <si>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</si>
  <si>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</si>
  <si>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</si>
  <si>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</si>
  <si>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</si>
  <si>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</si>
  <si>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</si>
  <si>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</si>
  <si>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</si>
  <si>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</si>
  <si>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</si>
  <si>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</si>
  <si>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</si>
  <si>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</si>
  <si>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</si>
  <si>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</si>
  <si>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</si>
  <si>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</si>
  <si>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(blank)</t>
  </si>
  <si>
    <t>(blank) Total</t>
  </si>
  <si>
    <t>Total UG SCH</t>
  </si>
  <si>
    <t>4-year</t>
  </si>
  <si>
    <t>2-year</t>
  </si>
  <si>
    <t>Tech</t>
  </si>
  <si>
    <t>Total</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</si>
  <si>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</si>
  <si>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</si>
  <si>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</si>
  <si>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</si>
  <si>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</si>
  <si>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</si>
  <si>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</si>
  <si>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</si>
  <si>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</si>
  <si>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</si>
  <si>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</si>
  <si>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</si>
  <si>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</si>
  <si>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</si>
  <si>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</si>
  <si>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</si>
  <si>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E-Learning UG SCH</t>
  </si>
  <si>
    <t>Total G SCH</t>
  </si>
  <si>
    <t>E-Learning G SCH</t>
  </si>
  <si>
    <t>Table 91</t>
  </si>
  <si>
    <t>Table 106</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</si>
  <si>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</si>
  <si>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</si>
  <si>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</si>
  <si>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</si>
  <si>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</si>
  <si>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</si>
  <si>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</si>
  <si>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</si>
  <si>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</si>
  <si>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2</t>
    </r>
  </si>
  <si>
    <t>Corre- spondence</t>
  </si>
  <si>
    <t>check figs</t>
  </si>
  <si>
    <r>
      <t>Florida</t>
    </r>
    <r>
      <rPr>
        <vertAlign val="superscript"/>
        <sz val="10"/>
        <rFont val="Arial"/>
        <family val="2"/>
      </rPr>
      <t>3</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</si>
  <si>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</si>
  <si>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</si>
  <si>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t>Table 92</t>
  </si>
  <si>
    <t>Table 107</t>
  </si>
  <si>
    <r>
      <t>Other</t>
    </r>
    <r>
      <rPr>
        <b/>
        <vertAlign val="superscript"/>
        <sz val="9"/>
        <rFont val="Arial"/>
        <family val="2"/>
      </rPr>
      <t>1</t>
    </r>
  </si>
  <si>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</si>
  <si>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</si>
  <si>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 75 percent rule to define e-learning so their figures here are likely lower than they would be if they used the 50 percent rule.</t>
    </r>
  </si>
  <si>
    <t>Table 93</t>
  </si>
  <si>
    <t>Table 108</t>
  </si>
  <si>
    <t>Table 94</t>
  </si>
  <si>
    <t>Table 109</t>
  </si>
  <si>
    <r>
      <t>2</t>
    </r>
    <r>
      <rPr>
        <sz val="8"/>
        <rFont val="Arial"/>
        <family val="2"/>
      </rPr>
      <t>The university system in Florida uses an 80 percent rule to define e-learning so their figures here are likely lower than they would be if they used the 50 percent rule.</t>
    </r>
  </si>
  <si>
    <t>Table 95</t>
  </si>
  <si>
    <t>Table 110</t>
  </si>
  <si>
    <t>Table 96</t>
  </si>
  <si>
    <t>Table 111</t>
  </si>
  <si>
    <t>Table 97</t>
  </si>
  <si>
    <t>Table 112</t>
  </si>
  <si>
    <t>Table 98</t>
  </si>
  <si>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</si>
  <si>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</si>
  <si>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Table 99</t>
  </si>
  <si>
    <r>
      <t>2</t>
    </r>
    <r>
      <rPr>
        <sz val="8"/>
        <rFont val="Arial"/>
        <family val="2"/>
      </rPr>
      <t>Florida Community Colleges define e-learning when 75 percent of course content is delivered electronically so the figures reported here are likely lower than they would be if they employed a 50 percent rule.</t>
    </r>
  </si>
  <si>
    <t>Table 100</t>
  </si>
  <si>
    <t>Table 101</t>
  </si>
  <si>
    <t>Table 102</t>
  </si>
  <si>
    <t>Table 103</t>
  </si>
  <si>
    <t>Table 104</t>
  </si>
  <si>
    <t>Table 105</t>
  </si>
  <si>
    <t>Table 87</t>
  </si>
  <si>
    <r>
      <t>All</t>
    </r>
    <r>
      <rPr>
        <b/>
        <vertAlign val="superscript"/>
        <sz val="10"/>
        <rFont val="Arial"/>
        <family val="2"/>
      </rPr>
      <t>1</t>
    </r>
  </si>
  <si>
    <t>with bachs.</t>
  </si>
  <si>
    <t>All</t>
  </si>
  <si>
    <t>Table 88</t>
  </si>
  <si>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</si>
  <si>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t>Table 89</t>
  </si>
  <si>
    <t>Percent of Graduate Instructional Activity</t>
  </si>
  <si>
    <t xml:space="preserve"> in Traditional Classroom Instruction</t>
  </si>
  <si>
    <t>Table 90</t>
  </si>
  <si>
    <t>Percent of Graduate Instructional Activity in e-Learning</t>
  </si>
  <si>
    <r>
      <t>2</t>
    </r>
    <r>
      <rPr>
        <sz val="8"/>
        <rFont val="Arial"/>
        <family val="2"/>
      </rPr>
      <t xml:space="preserve"> The university system in Florida uses an 80 percent rule to define e-learning so their figures here are likely lower than they would be if they used the 50 percent rule.</t>
    </r>
  </si>
  <si>
    <r>
      <t>All</t>
    </r>
    <r>
      <rPr>
        <b/>
        <vertAlign val="superscript"/>
        <sz val="9"/>
        <rFont val="Arial"/>
        <family val="2"/>
      </rPr>
      <t>1</t>
    </r>
  </si>
  <si>
    <t>Change</t>
  </si>
  <si>
    <t>4-Yr</t>
  </si>
  <si>
    <t>2-Yr</t>
  </si>
  <si>
    <r>
      <rPr>
        <b/>
        <sz val="10"/>
        <color rgb="FF000000"/>
        <rFont val="Arial"/>
        <family val="2"/>
      </rPr>
      <t xml:space="preserve">Data Columns:  </t>
    </r>
    <r>
      <rPr>
        <sz val="10"/>
        <color rgb="FF000000"/>
        <rFont val="Arial"/>
        <family val="2"/>
      </rPr>
      <t>White = New Data, Peach = Old Data, Purple/Grey = Calculated Data.</t>
    </r>
  </si>
  <si>
    <t>Total Undergraduate SCH</t>
  </si>
  <si>
    <t>Total Graduate SCH</t>
  </si>
  <si>
    <t xml:space="preserve">John C. Calhoun Community College </t>
  </si>
  <si>
    <t>George C. Wallace Community College-Dothan</t>
  </si>
  <si>
    <t>George C. Wallace State Community College-Hanceville</t>
  </si>
  <si>
    <t>Chattahoochee Valley Community College</t>
  </si>
  <si>
    <t>Enterprise State Community College</t>
  </si>
  <si>
    <t>Northeast Alabama Community College</t>
  </si>
  <si>
    <t>H. Councill Trenholm State Community College</t>
  </si>
  <si>
    <t>J.F. Drake State Community and Technical College</t>
  </si>
  <si>
    <t>University of Arkansas - Pulaski Technical College</t>
  </si>
  <si>
    <t>University of Arkansas Community College Rich Mountain</t>
  </si>
  <si>
    <t xml:space="preserve">Georgia State University </t>
  </si>
  <si>
    <t>Augusta University</t>
  </si>
  <si>
    <t>Central LA Technical Community College</t>
  </si>
  <si>
    <t>University of North Carolina School of the Arts</t>
  </si>
  <si>
    <t>Met the criteria for Four-Year 3 in 2018-19 and 2019-20.</t>
  </si>
  <si>
    <t>Met the criteria for Four-Year 5 in 2019-20.</t>
  </si>
  <si>
    <t>Coastal Alabama Community College</t>
  </si>
  <si>
    <t>Met the criteria for Two-Year 2 in 2018-19 and 2019-20.</t>
  </si>
  <si>
    <t>Reclassified: Met the criteria for Four-Year 4 in 2017-18, 2018-19, and 2019-20.</t>
  </si>
  <si>
    <t>Arkansas State University Three Rivers</t>
  </si>
  <si>
    <t>2019-20: Institution joined one of our university systems</t>
  </si>
  <si>
    <t>University of Arkansas Community College at Hope-Texarkana</t>
  </si>
  <si>
    <t xml:space="preserve">Met the criteria for Two-Year with Bachelor's in 2019-20. </t>
  </si>
  <si>
    <t>The College of the Florida Keys</t>
  </si>
  <si>
    <t xml:space="preserve">Met the criteria for Two-Year with Bachelor's in 2018-19 and 2019-20. </t>
  </si>
  <si>
    <t xml:space="preserve">North Florida College </t>
  </si>
  <si>
    <t>Met the criteria for Four-Year 2 in 2019-20.</t>
  </si>
  <si>
    <t>Reclassified: Met the criteria for Two-Year 2 in 2017-18, 2018-19, and 2019-20.</t>
  </si>
  <si>
    <t>Southern University Law Center</t>
  </si>
  <si>
    <t>Met the criteria for Two-Year 3 in 2018-19 and 2019-20.</t>
  </si>
  <si>
    <t>Met the criteria for Four-Year 4 in 2019-20.</t>
  </si>
  <si>
    <t>University of Maryland Global Campus</t>
  </si>
  <si>
    <t>Met the criteria for Two-Year 2 in 2019-20.</t>
  </si>
  <si>
    <t xml:space="preserve">Williamsburg Technical College </t>
  </si>
  <si>
    <t>Academy of Careers and Technology</t>
  </si>
  <si>
    <t>Boone Career and Technical Center</t>
  </si>
  <si>
    <t>Carver Career and Technical Education Center</t>
  </si>
  <si>
    <t>Marion County Technical Center</t>
  </si>
  <si>
    <t>McDowell County Career and Technology Center</t>
  </si>
  <si>
    <t>Mineral County Technical Center</t>
  </si>
  <si>
    <t>Wyoming County Career &amp; Technical Center</t>
  </si>
  <si>
    <t>Greenbrier School of Practical Nursing</t>
  </si>
  <si>
    <t>Summers County School of Practical Nursing</t>
  </si>
  <si>
    <t>Percent of Undergraduate Instructional Activity in Traditional Classroom Instruction by Type of Institution, 2019</t>
  </si>
  <si>
    <t>Percent of Undergraduate Instructional Activity in e-Learning by Type of Institution, 2019</t>
  </si>
  <si>
    <t>by Type of Institution, 2019</t>
  </si>
  <si>
    <t>Public Four-Year 1 Institutions, 2019</t>
  </si>
  <si>
    <t>Public Four-Year 2 Institutions, 2019</t>
  </si>
  <si>
    <t>Public Four-Year 3 Institutions, 2019</t>
  </si>
  <si>
    <t>Public Four-Year 4 Institutions, 2019</t>
  </si>
  <si>
    <t>Public Four-Year 5 Institutions, 2019</t>
  </si>
  <si>
    <t>Public Four-Year 6 Institutions, 2019</t>
  </si>
  <si>
    <t>Public Two-Year, 2019</t>
  </si>
  <si>
    <t>Public Two-Year with Bachelor's Institutions, 2019</t>
  </si>
  <si>
    <t>Public Two-Year 1 Institutions, 2019</t>
  </si>
  <si>
    <t>Public Two-Year 2 Institutions, 2019</t>
  </si>
  <si>
    <t>Public Two-Year 3 Institutions, 2019</t>
  </si>
  <si>
    <t>Public Technical Institutes or Colleges, 2019</t>
  </si>
  <si>
    <t>Public Technical Institutes or Colleges 1, 2019</t>
  </si>
  <si>
    <t>Public Technical Institutes or Colleges 2, 2019</t>
  </si>
  <si>
    <r>
      <t xml:space="preserve">1 </t>
    </r>
    <r>
      <rPr>
        <sz val="8"/>
        <rFont val="Arial"/>
        <family val="2"/>
      </rPr>
      <t>The "all four-year" figures include the Marion Military Institute, University of Arkansas for Medical Sciences, Southern University Law Center, University of Maryland Global Campus, University of Maryland - Baltimore, and University of North Carolina School of the Arts.</t>
    </r>
  </si>
  <si>
    <r>
      <t>1</t>
    </r>
    <r>
      <rPr>
        <sz val="8"/>
        <rFont val="Arial"/>
        <family val="2"/>
      </rPr>
      <t xml:space="preserve"> The "all four-year" figures include the Marion Military Institute, University of Arkansas for Medical Sciences, Southern University Law Center, University of Maryland Global Campus, University of Maryland - Baltimore, and University of North Carolina School of the Arts.</t>
    </r>
  </si>
  <si>
    <r>
      <t>1</t>
    </r>
    <r>
      <rPr>
        <sz val="8"/>
        <rFont val="Arial"/>
        <family val="2"/>
      </rPr>
      <t>The "all four-year" figures include the Marion Military Institute, University of Arkansas for Medical Sciences, Southern University Law Center, University of Maryland Global Campus, University of Maryland - Baltimore, and University of North Carolina School of the Arts.</t>
    </r>
  </si>
  <si>
    <t>Changed # from 157173 to 156392</t>
  </si>
  <si>
    <t>University of Maryland, College Park</t>
  </si>
  <si>
    <t>Davidson-Davie Community College</t>
  </si>
  <si>
    <t>College of The Albemarle</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</si>
  <si>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</si>
  <si>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</si>
  <si>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</si>
  <si>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</si>
  <si>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</si>
  <si>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</si>
  <si>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</si>
  <si>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University of Texas at San Antonio</t>
  </si>
  <si>
    <t>Texas State University</t>
  </si>
  <si>
    <t>Texas Woman's University</t>
  </si>
  <si>
    <t>University of Texas at El Paso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</si>
  <si>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</si>
  <si>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</si>
  <si>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</si>
  <si>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</si>
  <si>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</si>
  <si>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</si>
  <si>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</si>
  <si>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</si>
  <si>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</si>
  <si>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</si>
  <si>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</si>
  <si>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</si>
  <si>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</si>
  <si>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 xml:space="preserve">University of Houston-Clear Lake </t>
  </si>
  <si>
    <t>University of Texas at Tyler</t>
  </si>
  <si>
    <t>University of Texas Permian Basin</t>
  </si>
  <si>
    <t>University of Texas-Rio Grande Valley</t>
  </si>
  <si>
    <t>West Texas A&amp;M University</t>
  </si>
  <si>
    <t>Texas A&amp;M -Texarkana</t>
  </si>
  <si>
    <t>Texas A&amp;M University-Central Texas</t>
  </si>
  <si>
    <t>University of Houston-Downtown</t>
  </si>
  <si>
    <t>University of Houston-Victoria</t>
  </si>
  <si>
    <t>Sul Ross State University-Rio Grande College</t>
  </si>
  <si>
    <t>228501B</t>
  </si>
  <si>
    <t>Texas A&amp;M University at Galveston</t>
  </si>
  <si>
    <t>Texas A&amp;M University-San Antonio</t>
  </si>
  <si>
    <t xml:space="preserve">Brazosport College </t>
  </si>
  <si>
    <t xml:space="preserve">Midland College </t>
  </si>
  <si>
    <t>South Texas College</t>
  </si>
  <si>
    <t xml:space="preserve">Amarillo College </t>
  </si>
  <si>
    <t xml:space="preserve">Austin Community College </t>
  </si>
  <si>
    <t>Met the criteria for Two-Year with Bachelor's in 2019-20.</t>
  </si>
  <si>
    <t>Blinn College</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</si>
  <si>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</si>
  <si>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</si>
  <si>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</si>
  <si>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</si>
  <si>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</si>
  <si>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</si>
  <si>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</si>
  <si>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</si>
  <si>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College </t>
  </si>
  <si>
    <t>Lone Star College System District</t>
  </si>
  <si>
    <t xml:space="preserve">McLennan Community College </t>
  </si>
  <si>
    <t>Mountain View College  (DCCCD)</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</si>
  <si>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</si>
  <si>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</si>
  <si>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</si>
  <si>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</si>
  <si>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</si>
  <si>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</si>
  <si>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</si>
  <si>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</si>
  <si>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</si>
  <si>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</si>
  <si>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</si>
  <si>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</si>
  <si>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</si>
  <si>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</si>
  <si>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</si>
  <si>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</si>
  <si>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</si>
  <si>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</si>
  <si>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</si>
  <si>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</si>
  <si>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</si>
  <si>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</si>
  <si>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 xml:space="preserve">Kilgore College </t>
  </si>
  <si>
    <t>Lamar Institute of Technology</t>
  </si>
  <si>
    <t xml:space="preserve">Lee College </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</si>
  <si>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</si>
  <si>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</si>
  <si>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</si>
  <si>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</si>
  <si>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</si>
  <si>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</si>
  <si>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</si>
  <si>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Changed IPEDS # from 229072</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</si>
  <si>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</si>
  <si>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</si>
  <si>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</si>
  <si>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</si>
  <si>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</si>
  <si>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</si>
  <si>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</si>
  <si>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</si>
  <si>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</si>
  <si>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</si>
  <si>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</si>
  <si>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</si>
  <si>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Panola College</t>
  </si>
  <si>
    <t xml:space="preserve">Ranger College </t>
  </si>
  <si>
    <t>Southwest Collegiate Institute for the Deaf (HCJCD)</t>
  </si>
  <si>
    <t>Texas State Technical College-Fort Bend</t>
  </si>
  <si>
    <t>Texas State Technical College-Marshall</t>
  </si>
  <si>
    <t>Texas State Technical College-North Texas</t>
  </si>
  <si>
    <t>Texas State Technical College-West Texas</t>
  </si>
  <si>
    <t xml:space="preserve">Western Texas College </t>
  </si>
  <si>
    <t>University of North Texas at Dallas</t>
  </si>
  <si>
    <t>Percent of Undergraduate Instructional Activity in e-Learning by Type of Institution, 2020</t>
  </si>
  <si>
    <t>by Type of Institution, 2020</t>
  </si>
  <si>
    <t>Percent of Undergraduate Instructional Activity in Traditional Classroom Instruction by Type of Institution, 2020</t>
  </si>
  <si>
    <t>Public Four-Year Institutions1, 2019</t>
  </si>
  <si>
    <t>Public Four-Year 1 Institutions, 2020</t>
  </si>
  <si>
    <t>Public Four-Year 2 Institutions, 2020</t>
  </si>
  <si>
    <t>Public Four-Year 3 Institutions, 2020</t>
  </si>
  <si>
    <t>Public Four-Year 4 Institutions, 2020</t>
  </si>
  <si>
    <t>Public Four-Year 5 Institutions, 2020</t>
  </si>
  <si>
    <t>Public Four-Year 6 Institutions, 2020</t>
  </si>
  <si>
    <t>Public Two-Year, 2020</t>
  </si>
  <si>
    <t>Public Two-Year with Bachelor's Institutions, 2020</t>
  </si>
  <si>
    <t>Public Two-Year 1 Institutions, 2020</t>
  </si>
  <si>
    <t>Public Two-Year 2 Institutions, 2020</t>
  </si>
  <si>
    <t>Public Two-Year 3 Institutions, 2020</t>
  </si>
  <si>
    <t>Public Technical Institutes or Colleges, 2020</t>
  </si>
  <si>
    <t>Public Technical Institutes or Colleges 1, 2020</t>
  </si>
  <si>
    <t>Public Technical Institutes or Colleges 2, 2020</t>
  </si>
  <si>
    <t>Public Four-Year Institutions1, 2020</t>
  </si>
  <si>
    <t xml:space="preserve">    Oct 2022</t>
  </si>
  <si>
    <t>Reclassified: Met the criteria for Four-Year 3 in 2018-19  2019-20, and 2020-21</t>
  </si>
  <si>
    <t>Reclassified: Met the criteria for Four-Year 4 in 2018-19, 2019-20, and 2020-21.</t>
  </si>
  <si>
    <t>Reclassified: Met the criteria for Two-Year 1 in 2018-19, 2019-20, and 2020-21.</t>
  </si>
  <si>
    <t>Reclassified: Met the criteria for Four-Year 5 in 2018-19, 2019-20, and 2020-21.</t>
  </si>
  <si>
    <t>Reclassified: Met the criteria for Two-Year 2 in 2018-19, 2019-20, and 2020-21.</t>
  </si>
  <si>
    <t>Reclassified: Met the criteria for Four-Year 3 in 2018-19 ,2019-20, and 2020-21</t>
  </si>
  <si>
    <t>Reclassified: Met the criteria for Four-Year 4 in 2018-19 and 2019-20, and 2021</t>
  </si>
  <si>
    <t>Reclassifed Met the criteria for Two-Year 2 in 2018-19 and 2019-20 and 2020-21</t>
  </si>
  <si>
    <t>Dallas College</t>
  </si>
  <si>
    <t>Name change ( Dallas County Community College)</t>
  </si>
  <si>
    <t>Met the criteria for Four-Year 5 in 2019-20 and 2020-21.</t>
  </si>
  <si>
    <t>Met the criteria for Two-Year 3 in 2020-21.</t>
  </si>
  <si>
    <t>Met the criteria for Two-Year 2 in 2020-21.</t>
  </si>
  <si>
    <t>Met the criteria for Four-Year 4 in 2020-21.</t>
  </si>
  <si>
    <t>Met the criteria for Four-Year 6 in 2020-21.</t>
  </si>
  <si>
    <t>Met the criteria for Two-Year 3 in 2019-20 and 2020-21.</t>
  </si>
  <si>
    <t>Met the criteria for Four-Year 2 in 2019-20 and 2020-21.</t>
  </si>
  <si>
    <t>Met the criteria for Four-Year 4 in 2019-20 and 2020-21.</t>
  </si>
  <si>
    <t>Met the criteria for Two-Year 2 in 2019-20 and 2020-21.</t>
  </si>
  <si>
    <t>Met the criteria for Technical Institute or College 1 in 2019-20 and 2020-21.</t>
  </si>
  <si>
    <t>Met the requirments for 4-year 1 in 2020-21</t>
  </si>
  <si>
    <t>Met the requirments for 4 Year 1 in 2020-21</t>
  </si>
  <si>
    <t>Met the criteria Two-Year 2 in 2020-21</t>
  </si>
  <si>
    <t>Met the critera for Two-Year 1 in 2020-21</t>
  </si>
  <si>
    <t>Met the requirments for  Two-year 3 in 2020-21</t>
  </si>
  <si>
    <t xml:space="preserve">    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</si>
</sst>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
    <numFmt numFmtId="170" formatCode="0.000"/>
    <numFmt numFmtId="171" formatCode="0.0000"/>
    <numFmt numFmtId="172" formatCode="0.00000"/>
  </numFmts>
  <fonts count="54">
    <font>
      <sz val="12"/>
      <name val="AGaramond"/>
    </font>
    <font>
      <sz val="11"/>
      <color theme="1"/>
      <name val="Calibri"/>
      <family val="2"/>
      <scheme val="minor"/>
    </font>
    <font>
      <sz val="10"/>
      <name val="Arial"/>
      <family val="2"/>
    </font>
    <font>
      <b/>
      <sz val="10"/>
      <color indexed="10"/>
      <name val="Arial"/>
      <family val="2"/>
    </font>
    <font>
      <b/>
      <sz val="10"/>
      <name val="Arial"/>
      <family val="2"/>
    </font>
    <font>
      <b/>
      <sz val="10"/>
      <color indexed="12"/>
      <name val="Arial"/>
      <family val="2"/>
    </font>
    <font>
      <sz val="10"/>
      <color indexed="12"/>
      <name val="Arial"/>
      <family val="2"/>
    </font>
    <font>
      <b/>
      <sz val="14"/>
      <name val="Arial"/>
      <family val="2"/>
    </font>
    <font>
      <b/>
      <sz val="10"/>
      <color rgb="FFC00000"/>
      <name val="Arial"/>
      <family val="2"/>
    </font>
    <font>
      <sz val="10"/>
      <color rgb="FF0000FF"/>
      <name val="Arial"/>
      <family val="2"/>
    </font>
    <font>
      <b/>
      <sz val="10"/>
      <color theme="0"/>
      <name val="Arial"/>
      <family val="2"/>
    </font>
    <font>
      <b/>
      <sz val="10"/>
      <color rgb="FF0000FF"/>
      <name val="Arial"/>
      <family val="2"/>
    </font>
    <font>
      <b/>
      <sz val="14"/>
      <color theme="0"/>
      <name val="Arial"/>
      <family val="2"/>
    </font>
    <font>
      <b/>
      <sz val="14"/>
      <color rgb="FFFF0000"/>
      <name val="Arial"/>
      <family val="2"/>
    </font>
    <font>
      <b/>
      <sz val="10"/>
      <color rgb="FF000000"/>
      <name val="Arial"/>
      <family val="2"/>
    </font>
    <font>
      <sz val="10"/>
      <color rgb="FF000000"/>
      <name val="Arial"/>
      <family val="2"/>
    </font>
    <font>
      <b/>
      <sz val="11"/>
      <color rgb="FF000000"/>
      <name val="Tahoma"/>
      <family val="2"/>
    </font>
    <font>
      <b/>
      <sz val="10"/>
      <color rgb="FFFF0000"/>
      <name val="Arial"/>
      <family val="2"/>
    </font>
    <font>
      <sz val="11"/>
      <name val="Calibri"/>
      <family val="2"/>
      <scheme val="minor"/>
    </font>
    <font>
      <b/>
      <sz val="11"/>
      <name val="Calibri"/>
      <family val="2"/>
      <scheme val="minor"/>
    </font>
    <font>
      <sz val="11"/>
      <color rgb="FFC00000"/>
      <name val="Calibri"/>
      <family val="2"/>
      <scheme val="minor"/>
    </font>
    <font>
      <sz val="14"/>
      <name val="Arial"/>
      <family val="2"/>
    </font>
    <font>
      <sz val="14"/>
      <color rgb="FFC00000"/>
      <name val="Arial"/>
      <family val="2"/>
    </font>
    <font>
      <sz val="8"/>
      <name val="Arial"/>
      <family val="2"/>
    </font>
    <font>
      <b/>
      <sz val="12"/>
      <name val="Arial"/>
      <family val="2"/>
    </font>
    <font>
      <sz val="10"/>
      <color rgb="FFC00000"/>
      <name val="Arial"/>
      <family val="2"/>
    </font>
    <font>
      <b/>
      <sz val="9"/>
      <name val="Arial"/>
      <family val="2"/>
    </font>
    <font>
      <sz val="9"/>
      <color rgb="FFC00000"/>
      <name val="Arial"/>
      <family val="2"/>
    </font>
    <font>
      <b/>
      <sz val="9"/>
      <color rgb="FFC00000"/>
      <name val="Arial"/>
      <family val="2"/>
    </font>
    <font>
      <b/>
      <vertAlign val="superscript"/>
      <sz val="9"/>
      <name val="Arial"/>
      <family val="2"/>
    </font>
    <font>
      <vertAlign val="superscript"/>
      <sz val="10"/>
      <name val="Arial"/>
      <family val="2"/>
    </font>
    <font>
      <vertAlign val="superscript"/>
      <sz val="8"/>
      <name val="Arial"/>
      <family val="2"/>
    </font>
    <font>
      <sz val="11"/>
      <color indexed="8"/>
      <name val="Calibri"/>
      <family val="2"/>
    </font>
    <font>
      <sz val="8"/>
      <color rgb="FFC00000"/>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9"/>
      <name val="Arial"/>
      <family val="2"/>
    </font>
    <font>
      <b/>
      <sz val="12"/>
      <color indexed="8"/>
      <name val="Arial"/>
      <family val="2"/>
    </font>
    <font>
      <b/>
      <sz val="10"/>
      <color indexed="8"/>
      <name val="Arial"/>
      <family val="2"/>
    </font>
    <font>
      <b/>
      <vertAlign val="superscript"/>
      <sz val="10"/>
      <name val="Arial"/>
      <family val="2"/>
    </font>
    <font>
      <sz val="10"/>
      <color rgb="FF9C0000"/>
      <name val="Arial"/>
      <family val="2"/>
    </font>
    <font>
      <sz val="8"/>
      <color rgb="FF000000"/>
      <name val="Tahoma"/>
      <family val="2"/>
    </font>
    <font>
      <b/>
      <sz val="11"/>
      <color rgb="FFC00000"/>
      <name val="Calibri"/>
      <family val="2"/>
    </font>
    <font>
      <b/>
      <sz val="11"/>
      <color rgb="FF000000"/>
      <name val="Calibri"/>
      <family val="2"/>
    </font>
    <font>
      <b/>
      <sz val="11"/>
      <color rgb="FFC00000"/>
      <name val="Calibri"/>
      <family val="2"/>
      <scheme val="minor"/>
    </font>
    <font>
      <b/>
      <sz val="11"/>
      <name val="Calibri"/>
      <family val="2"/>
    </font>
    <font>
      <b/>
      <sz val="11"/>
      <color rgb="FFFF0000"/>
      <name val="Calibri"/>
      <family val="2"/>
      <scheme val="minor"/>
    </font>
    <font>
      <b/>
      <sz val="11"/>
      <color theme="1"/>
      <name val="Calibri"/>
      <family val="2"/>
      <scheme val="minor"/>
    </font>
    <font>
      <sz val="12"/>
      <color rgb="FFFFFFFF"/>
      <name val="AGaramond"/>
      <family val="2"/>
    </font>
    <font>
      <sz val="12"/>
      <color rgb="FF9C0000"/>
      <name val="AGaramond"/>
      <family val="2"/>
    </font>
    <font>
      <sz val="10"/>
      <color rgb="FFFFFFFF"/>
      <name val="Arial"/>
      <family val="2"/>
    </font>
    <font>
      <sz val="10"/>
      <color rgb="FFFF0000"/>
      <name val="Arial"/>
      <family val="2"/>
    </font>
  </fonts>
  <fills count="5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45"/>
        <bgColor indexed="64"/>
      </patternFill>
    </fill>
    <fill>
      <patternFill patternType="solid">
        <fgColor theme="9" tint="0.59999389629810485"/>
        <bgColor theme="9" tint="0.59999389629810485"/>
      </patternFill>
    </fill>
    <fill>
      <patternFill patternType="solid">
        <fgColor rgb="FFFFFFFF"/>
        <bgColor rgb="FFFFFFFF"/>
      </patternFill>
    </fill>
    <fill>
      <patternFill patternType="solid">
        <fgColor indexed="45"/>
      </patternFill>
    </fill>
    <fill>
      <patternFill patternType="solid">
        <fgColor indexed="47"/>
        <bgColor indexed="64"/>
      </patternFill>
    </fill>
    <fill>
      <patternFill patternType="solid">
        <fgColor rgb="FFFFCC99"/>
        <bgColor rgb="FFFFCC99"/>
      </patternFill>
    </fill>
    <fill>
      <patternFill patternType="solid">
        <fgColor indexed="43"/>
        <bgColor indexed="64"/>
      </patternFill>
    </fill>
    <fill>
      <patternFill patternType="solid">
        <fgColor indexed="42"/>
      </patternFill>
    </fill>
    <fill>
      <patternFill patternType="solid">
        <fgColor indexed="15"/>
        <bgColor indexed="64"/>
      </patternFill>
    </fill>
    <fill>
      <patternFill patternType="solid">
        <fgColor rgb="FF99CCFF"/>
        <bgColor rgb="FF99CCFF"/>
      </patternFill>
    </fill>
    <fill>
      <patternFill patternType="solid">
        <fgColor rgb="FFFF99CC"/>
        <bgColor rgb="FFFF99CC"/>
      </patternFill>
    </fill>
    <fill>
      <patternFill patternType="solid">
        <fgColor indexed="15"/>
        <bgColor indexed="42"/>
      </patternFill>
    </fill>
    <fill>
      <patternFill patternType="solid">
        <fgColor rgb="FFCC99FF"/>
        <bgColor rgb="FFCC99FF"/>
      </patternFill>
    </fill>
    <fill>
      <patternFill patternType="solid">
        <fgColor rgb="FF00B0F0"/>
        <bgColor indexed="64"/>
      </patternFill>
    </fill>
    <fill>
      <patternFill patternType="solid">
        <fgColor indexed="11"/>
      </patternFill>
    </fill>
    <fill>
      <patternFill patternType="solid">
        <fgColor rgb="FFFF99CC"/>
        <bgColor rgb="FF000000"/>
      </patternFill>
    </fill>
    <fill>
      <patternFill patternType="solid">
        <fgColor rgb="FFFFC8C8"/>
        <bgColor rgb="FFFFC8C8"/>
      </patternFill>
    </fill>
    <fill>
      <patternFill patternType="solid">
        <fgColor rgb="FFFFCC00"/>
        <bgColor rgb="FFFFCC00"/>
      </patternFill>
    </fill>
    <fill>
      <patternFill patternType="solid">
        <fgColor rgb="FFB1A0C7"/>
        <bgColor rgb="FF000000"/>
      </patternFill>
    </fill>
    <fill>
      <patternFill patternType="solid">
        <fgColor rgb="FFD9D9D9"/>
        <bgColor rgb="FF000000"/>
      </patternFill>
    </fill>
    <fill>
      <patternFill patternType="solid">
        <fgColor rgb="FFFFCC99"/>
        <bgColor rgb="FF000000"/>
      </patternFill>
    </fill>
    <fill>
      <patternFill patternType="solid">
        <fgColor rgb="FFFFFF99"/>
        <bgColor rgb="FF000000"/>
      </patternFill>
    </fill>
    <fill>
      <patternFill patternType="solid">
        <fgColor rgb="FF00FFFF"/>
        <bgColor rgb="FF000000"/>
      </patternFill>
    </fill>
    <fill>
      <patternFill patternType="solid">
        <fgColor rgb="FF99CCFF"/>
        <bgColor rgb="FF000000"/>
      </patternFill>
    </fill>
    <fill>
      <patternFill patternType="solid">
        <fgColor rgb="FFFFFF00"/>
        <bgColor rgb="FF000000"/>
      </patternFill>
    </fill>
    <fill>
      <patternFill patternType="solid">
        <fgColor rgb="FFFFCC00"/>
        <bgColor rgb="FF000000"/>
      </patternFill>
    </fill>
    <fill>
      <patternFill patternType="solid">
        <fgColor rgb="FFCCFFCC"/>
        <bgColor rgb="FF000000"/>
      </patternFill>
    </fill>
    <fill>
      <patternFill patternType="solid">
        <fgColor rgb="FFCC99FF"/>
        <bgColor rgb="FF000000"/>
      </patternFill>
    </fill>
    <fill>
      <patternFill patternType="solid">
        <fgColor rgb="FFCCFFCC"/>
        <bgColor rgb="FFCCFFCC"/>
      </patternFill>
    </fill>
    <fill>
      <patternFill patternType="solid">
        <fgColor rgb="FFCCFFCC"/>
        <bgColor rgb="FFFFC8C8"/>
      </patternFill>
    </fill>
    <fill>
      <patternFill patternType="solid">
        <fgColor rgb="FFFCD5B4"/>
        <bgColor rgb="FF000000"/>
      </patternFill>
    </fill>
    <fill>
      <patternFill patternType="solid">
        <fgColor rgb="FFFF99CC"/>
        <bgColor indexed="64"/>
      </patternFill>
    </fill>
    <fill>
      <patternFill patternType="solid">
        <fgColor rgb="FF99CCFF"/>
        <bgColor indexed="64"/>
      </patternFill>
    </fill>
    <fill>
      <patternFill patternType="solid">
        <fgColor indexed="44"/>
      </patternFill>
    </fill>
    <fill>
      <patternFill patternType="solid">
        <fgColor indexed="51"/>
      </patternFill>
    </fill>
    <fill>
      <patternFill patternType="solid">
        <fgColor rgb="FFFFCC00"/>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rgb="FF00FFFF"/>
        <bgColor indexed="64"/>
      </patternFill>
    </fill>
    <fill>
      <patternFill patternType="solid">
        <fgColor indexed="47"/>
      </patternFill>
    </fill>
    <fill>
      <patternFill patternType="solid">
        <fgColor indexed="46"/>
      </patternFill>
    </fill>
    <fill>
      <patternFill patternType="solid">
        <fgColor rgb="FF99CCFF"/>
      </patternFill>
    </fill>
    <fill>
      <patternFill patternType="solid">
        <fgColor theme="2" tint="-0.249977111117893"/>
        <bgColor indexed="64"/>
      </patternFill>
    </fill>
    <fill>
      <patternFill patternType="solid">
        <fgColor theme="2" tint="-0.249977111117893"/>
        <bgColor indexed="65"/>
      </patternFill>
    </fill>
    <fill>
      <patternFill patternType="solid">
        <fgColor rgb="FFFF0000"/>
        <bgColor rgb="FFFF0000"/>
      </patternFill>
    </fill>
  </fills>
  <borders count="81">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style="medium">
        <color auto="1"/>
      </left>
      <right/>
      <top/>
      <bottom/>
      <diagonal/>
    </border>
    <border>
      <left style="double">
        <color auto="1"/>
      </left>
      <right style="thin">
        <color auto="1"/>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65"/>
      </left>
      <right style="thin">
        <color indexed="64"/>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64"/>
      </left>
      <right/>
      <top style="thin">
        <color indexed="64"/>
      </top>
      <bottom/>
      <diagonal/>
    </border>
    <border>
      <left style="thin">
        <color indexed="8"/>
      </left>
      <right style="thin">
        <color indexed="8"/>
      </right>
      <top style="thin">
        <color indexed="65"/>
      </top>
      <bottom style="thin">
        <color indexed="64"/>
      </bottom>
      <diagonal/>
    </border>
    <border>
      <left style="thin">
        <color indexed="8"/>
      </left>
      <right/>
      <top style="thin">
        <color indexed="65"/>
      </top>
      <bottom style="thin">
        <color indexed="64"/>
      </bottom>
      <diagonal/>
    </border>
    <border>
      <left style="thin">
        <color indexed="64"/>
      </left>
      <right/>
      <top style="thin">
        <color indexed="8"/>
      </top>
      <bottom/>
      <diagonal/>
    </border>
    <border>
      <left style="thin">
        <color indexed="8"/>
      </left>
      <right/>
      <top/>
      <bottom/>
      <diagonal/>
    </border>
    <border>
      <left style="thin">
        <color indexed="64"/>
      </left>
      <right/>
      <top/>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right/>
      <top style="thin">
        <color indexed="65"/>
      </top>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double">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rgb="FF999999"/>
      </left>
      <right/>
      <top/>
      <bottom style="thin">
        <color indexed="64"/>
      </bottom>
      <diagonal/>
    </border>
    <border>
      <left style="thin">
        <color rgb="FF999999"/>
      </left>
      <right style="thin">
        <color rgb="FF999999"/>
      </right>
      <top/>
      <bottom style="thin">
        <color indexed="64"/>
      </bottom>
      <diagonal/>
    </border>
    <border>
      <left/>
      <right/>
      <top style="thin">
        <color indexed="65"/>
      </top>
      <bottom style="thin">
        <color indexed="64"/>
      </bottom>
      <diagonal/>
    </border>
    <border>
      <left/>
      <right/>
      <top style="thin">
        <color indexed="65"/>
      </top>
      <bottom style="thin">
        <color indexed="8"/>
      </bottom>
      <diagonal/>
    </border>
    <border>
      <left style="thin">
        <color rgb="FF999999"/>
      </left>
      <right/>
      <top style="thin">
        <color rgb="FF999999"/>
      </top>
      <bottom style="thin">
        <color indexed="64"/>
      </bottom>
      <diagonal/>
    </border>
    <border>
      <left/>
      <right/>
      <top style="thin">
        <color indexed="8"/>
      </top>
      <bottom/>
      <diagonal/>
    </border>
    <border>
      <left style="thin">
        <color rgb="FF999999"/>
      </left>
      <right/>
      <top style="thin">
        <color indexed="8"/>
      </top>
      <bottom/>
      <diagonal/>
    </border>
    <border>
      <left style="thin">
        <color indexed="65"/>
      </left>
      <right/>
      <top style="thin">
        <color indexed="8"/>
      </top>
      <bottom/>
      <diagonal/>
    </border>
  </borders>
  <cellStyleXfs count="13">
    <xf numFmtId="164" fontId="0" fillId="0" borderId="0"/>
    <xf numFmtId="37" fontId="2" fillId="7" borderId="10"/>
    <xf numFmtId="37" fontId="2" fillId="7" borderId="10">
      <protection locked="0"/>
    </xf>
    <xf numFmtId="37" fontId="2" fillId="0" borderId="10">
      <alignment horizontal="center" vertical="top"/>
      <protection locked="0"/>
    </xf>
    <xf numFmtId="9" fontId="9" fillId="5" borderId="10">
      <alignment horizontal="right"/>
    </xf>
    <xf numFmtId="9" fontId="9" fillId="6" borderId="10">
      <alignment horizontal="right"/>
    </xf>
    <xf numFmtId="38" fontId="9" fillId="5" borderId="10">
      <alignment horizontal="right"/>
    </xf>
    <xf numFmtId="38" fontId="9" fillId="6" borderId="10">
      <alignment horizontal="right"/>
    </xf>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32" fillId="24" borderId="0" applyNumberFormat="0" applyBorder="0" applyAlignment="0" applyProtection="0"/>
  </cellStyleXfs>
  <cellXfs count="537">
    <xf numFmtId="164" fontId="0" fillId="0" borderId="0" xfId="0"/>
    <xf numFmtId="49" fontId="4" fillId="13" borderId="0" xfId="0" applyNumberFormat="1" applyFont="1" applyFill="1" applyAlignment="1" applyProtection="1">
      <alignment horizontal="left"/>
      <protection locked="0"/>
    </xf>
    <xf numFmtId="164" fontId="4" fillId="0" borderId="9" xfId="0" applyFont="1" applyBorder="1" applyAlignment="1">
      <alignment horizontal="center" wrapText="1"/>
    </xf>
    <xf numFmtId="164" fontId="5" fillId="0" borderId="8" xfId="0" applyFont="1" applyBorder="1" applyAlignment="1">
      <alignment horizontal="centerContinuous" wrapText="1"/>
    </xf>
    <xf numFmtId="164" fontId="11" fillId="0" borderId="8" xfId="0" applyFont="1" applyBorder="1" applyAlignment="1">
      <alignment horizontal="centerContinuous" wrapText="1"/>
    </xf>
    <xf numFmtId="164" fontId="5" fillId="0" borderId="4" xfId="0" applyFont="1" applyBorder="1" applyAlignment="1">
      <alignment horizontal="centerContinuous" wrapText="1"/>
    </xf>
    <xf numFmtId="164" fontId="5" fillId="0" borderId="9" xfId="0" applyFont="1" applyBorder="1" applyAlignment="1">
      <alignment horizontal="centerContinuous" wrapText="1"/>
    </xf>
    <xf numFmtId="164" fontId="2" fillId="0" borderId="11" xfId="0" applyFont="1" applyBorder="1"/>
    <xf numFmtId="164" fontId="5" fillId="0" borderId="6" xfId="0" applyFont="1" applyBorder="1" applyAlignment="1">
      <alignment horizontal="centerContinuous"/>
    </xf>
    <xf numFmtId="164" fontId="2" fillId="0" borderId="5" xfId="0" applyFont="1" applyBorder="1"/>
    <xf numFmtId="164" fontId="7" fillId="0" borderId="3" xfId="0" applyFont="1" applyBorder="1" applyAlignment="1">
      <alignment horizontal="centerContinuous"/>
    </xf>
    <xf numFmtId="164" fontId="6" fillId="0" borderId="2" xfId="0" applyFont="1" applyBorder="1" applyAlignment="1">
      <alignment horizontal="centerContinuous"/>
    </xf>
    <xf numFmtId="164" fontId="5" fillId="0" borderId="2" xfId="0" applyFont="1" applyBorder="1" applyAlignment="1">
      <alignment horizontal="centerContinuous"/>
    </xf>
    <xf numFmtId="164" fontId="6" fillId="0" borderId="8" xfId="0" applyFont="1" applyBorder="1" applyAlignment="1">
      <alignment horizontal="centerContinuous"/>
    </xf>
    <xf numFmtId="0" fontId="0" fillId="0" borderId="0" xfId="0" applyNumberFormat="1"/>
    <xf numFmtId="164" fontId="2" fillId="0" borderId="0" xfId="0" applyFont="1"/>
    <xf numFmtId="0" fontId="12" fillId="4" borderId="13" xfId="0" applyNumberFormat="1" applyFont="1" applyFill="1" applyBorder="1" applyAlignment="1">
      <alignment horizontal="left"/>
    </xf>
    <xf numFmtId="164" fontId="2" fillId="0" borderId="0" xfId="0" applyFont="1" applyAlignment="1">
      <alignment horizontal="centerContinuous"/>
    </xf>
    <xf numFmtId="49" fontId="2" fillId="8" borderId="0" xfId="0" applyNumberFormat="1" applyFont="1" applyFill="1" applyAlignment="1" applyProtection="1">
      <alignment horizontal="center"/>
      <protection locked="0"/>
    </xf>
    <xf numFmtId="49" fontId="2" fillId="8" borderId="0" xfId="0" applyNumberFormat="1" applyFont="1" applyFill="1" applyAlignment="1" applyProtection="1">
      <alignment horizontal="left"/>
      <protection locked="0"/>
    </xf>
    <xf numFmtId="1" fontId="2" fillId="8" borderId="0" xfId="0" applyNumberFormat="1" applyFont="1" applyFill="1" applyAlignment="1" applyProtection="1">
      <alignment horizontal="center"/>
      <protection locked="0"/>
    </xf>
    <xf numFmtId="3" fontId="9" fillId="5" borderId="14" xfId="0" applyNumberFormat="1" applyFont="1" applyFill="1" applyBorder="1"/>
    <xf numFmtId="3" fontId="11" fillId="6" borderId="5" xfId="0" applyNumberFormat="1" applyFont="1" applyFill="1" applyBorder="1"/>
    <xf numFmtId="3" fontId="9" fillId="5" borderId="15" xfId="0" applyNumberFormat="1" applyFont="1" applyFill="1" applyBorder="1"/>
    <xf numFmtId="165" fontId="4" fillId="0" borderId="0" xfId="0" applyNumberFormat="1" applyFont="1" applyAlignment="1">
      <alignment horizontal="left" vertical="top"/>
    </xf>
    <xf numFmtId="164" fontId="4" fillId="0" borderId="0" xfId="0" applyFont="1" applyAlignment="1">
      <alignment horizontal="left" vertical="top"/>
    </xf>
    <xf numFmtId="3" fontId="5" fillId="2" borderId="3" xfId="0" applyNumberFormat="1" applyFont="1" applyFill="1" applyBorder="1" applyAlignment="1">
      <alignment horizontal="centerContinuous"/>
    </xf>
    <xf numFmtId="3" fontId="3" fillId="2" borderId="4" xfId="0" applyNumberFormat="1" applyFont="1" applyFill="1" applyBorder="1" applyAlignment="1">
      <alignment horizontal="centerContinuous"/>
    </xf>
    <xf numFmtId="49" fontId="4" fillId="9" borderId="5" xfId="0" applyNumberFormat="1" applyFont="1" applyFill="1" applyBorder="1" applyAlignment="1">
      <alignment horizontal="left" vertical="top"/>
    </xf>
    <xf numFmtId="49" fontId="4" fillId="9" borderId="0" xfId="0" applyNumberFormat="1" applyFont="1" applyFill="1" applyAlignment="1">
      <alignment horizontal="left" vertical="top"/>
    </xf>
    <xf numFmtId="49" fontId="10" fillId="4" borderId="12" xfId="0" applyNumberFormat="1" applyFont="1" applyFill="1" applyBorder="1" applyAlignment="1">
      <alignment horizontal="center"/>
    </xf>
    <xf numFmtId="49" fontId="10" fillId="4" borderId="13" xfId="0" applyNumberFormat="1" applyFont="1" applyFill="1" applyBorder="1" applyAlignment="1">
      <alignment horizontal="left"/>
    </xf>
    <xf numFmtId="0" fontId="10" fillId="4" borderId="13" xfId="0" applyNumberFormat="1" applyFont="1" applyFill="1" applyBorder="1" applyAlignment="1">
      <alignment horizontal="left" wrapText="1"/>
    </xf>
    <xf numFmtId="1" fontId="10" fillId="4" borderId="13" xfId="0" applyNumberFormat="1" applyFont="1" applyFill="1" applyBorder="1" applyAlignment="1">
      <alignment horizontal="center"/>
    </xf>
    <xf numFmtId="49" fontId="2" fillId="3" borderId="0" xfId="0" applyNumberFormat="1" applyFont="1" applyFill="1" applyAlignment="1">
      <alignment horizontal="center"/>
    </xf>
    <xf numFmtId="49" fontId="2" fillId="3" borderId="0" xfId="0" applyNumberFormat="1" applyFont="1" applyFill="1" applyAlignment="1">
      <alignment horizontal="left"/>
    </xf>
    <xf numFmtId="164" fontId="2" fillId="3" borderId="0" xfId="0" applyFont="1" applyFill="1" applyAlignment="1">
      <alignment horizontal="center" wrapText="1"/>
    </xf>
    <xf numFmtId="1" fontId="2" fillId="10" borderId="0" xfId="0" applyNumberFormat="1" applyFont="1" applyFill="1" applyAlignment="1" applyProtection="1">
      <alignment horizontal="center"/>
      <protection locked="0"/>
    </xf>
    <xf numFmtId="164" fontId="2" fillId="0" borderId="0" xfId="0" applyFont="1" applyAlignment="1">
      <alignment horizontal="left"/>
    </xf>
    <xf numFmtId="49" fontId="2" fillId="0" borderId="0" xfId="0" applyNumberFormat="1" applyFont="1" applyAlignment="1">
      <alignment horizontal="center"/>
    </xf>
    <xf numFmtId="49" fontId="2" fillId="0" borderId="0" xfId="0" applyNumberFormat="1" applyFont="1" applyAlignment="1">
      <alignment horizontal="left"/>
    </xf>
    <xf numFmtId="164" fontId="5" fillId="0" borderId="0" xfId="0" applyFont="1"/>
    <xf numFmtId="164" fontId="6" fillId="0" borderId="0" xfId="0" applyFont="1"/>
    <xf numFmtId="164" fontId="4" fillId="0" borderId="0" xfId="0" applyFont="1"/>
    <xf numFmtId="49" fontId="2" fillId="17" borderId="5" xfId="0" applyNumberFormat="1" applyFont="1" applyFill="1" applyBorder="1" applyAlignment="1" applyProtection="1">
      <alignment horizontal="center"/>
      <protection locked="0"/>
    </xf>
    <xf numFmtId="49" fontId="2" fillId="17" borderId="0" xfId="0" applyNumberFormat="1" applyFont="1" applyFill="1" applyAlignment="1" applyProtection="1">
      <alignment horizontal="left"/>
      <protection locked="0"/>
    </xf>
    <xf numFmtId="1" fontId="2" fillId="17" borderId="0" xfId="0" applyNumberFormat="1" applyFont="1" applyFill="1" applyAlignment="1" applyProtection="1">
      <alignment horizontal="center"/>
      <protection locked="0"/>
    </xf>
    <xf numFmtId="49" fontId="2" fillId="18" borderId="0" xfId="0" applyNumberFormat="1" applyFont="1" applyFill="1" applyAlignment="1" applyProtection="1">
      <alignment horizontal="left"/>
      <protection locked="0"/>
    </xf>
    <xf numFmtId="49" fontId="4" fillId="18" borderId="0" xfId="0" applyNumberFormat="1" applyFont="1" applyFill="1" applyAlignment="1" applyProtection="1">
      <alignment horizontal="left"/>
      <protection locked="0"/>
    </xf>
    <xf numFmtId="49" fontId="2" fillId="10" borderId="0" xfId="0" applyNumberFormat="1" applyFont="1" applyFill="1" applyAlignment="1" applyProtection="1">
      <alignment horizontal="left"/>
      <protection locked="0"/>
    </xf>
    <xf numFmtId="49" fontId="2" fillId="10" borderId="0" xfId="0" applyNumberFormat="1" applyFont="1" applyFill="1" applyAlignment="1" applyProtection="1">
      <alignment horizontal="center"/>
      <protection locked="0"/>
    </xf>
    <xf numFmtId="49" fontId="2" fillId="18" borderId="5" xfId="0" applyNumberFormat="1" applyFont="1" applyFill="1" applyBorder="1" applyAlignment="1" applyProtection="1">
      <alignment horizontal="center"/>
      <protection locked="0"/>
    </xf>
    <xf numFmtId="0" fontId="2" fillId="18" borderId="0" xfId="0" applyNumberFormat="1" applyFont="1" applyFill="1" applyAlignment="1" applyProtection="1">
      <alignment horizontal="center"/>
      <protection locked="0"/>
    </xf>
    <xf numFmtId="1" fontId="2" fillId="21" borderId="0" xfId="0" applyNumberFormat="1" applyFont="1" applyFill="1" applyAlignment="1" applyProtection="1">
      <alignment horizontal="center"/>
      <protection locked="0"/>
    </xf>
    <xf numFmtId="49" fontId="8" fillId="17" borderId="0" xfId="0" applyNumberFormat="1" applyFont="1" applyFill="1" applyAlignment="1" applyProtection="1">
      <alignment horizontal="left"/>
      <protection locked="0"/>
    </xf>
    <xf numFmtId="0" fontId="18" fillId="0" borderId="16" xfId="8" applyFont="1" applyBorder="1"/>
    <xf numFmtId="0" fontId="18" fillId="0" borderId="17" xfId="8" applyFont="1" applyBorder="1"/>
    <xf numFmtId="9" fontId="18" fillId="0" borderId="18" xfId="8" applyNumberFormat="1" applyFont="1" applyBorder="1"/>
    <xf numFmtId="9" fontId="18" fillId="0" borderId="17" xfId="8" applyNumberFormat="1" applyFont="1" applyBorder="1"/>
    <xf numFmtId="0" fontId="18" fillId="0" borderId="0" xfId="8" applyFont="1"/>
    <xf numFmtId="0" fontId="18" fillId="0" borderId="18" xfId="8" applyFont="1" applyBorder="1"/>
    <xf numFmtId="0" fontId="18" fillId="0" borderId="25" xfId="8" applyFont="1" applyBorder="1"/>
    <xf numFmtId="165" fontId="18" fillId="0" borderId="0" xfId="9" applyNumberFormat="1" applyFont="1"/>
    <xf numFmtId="165" fontId="18" fillId="0" borderId="1" xfId="9" applyNumberFormat="1" applyFont="1" applyBorder="1"/>
    <xf numFmtId="0" fontId="1" fillId="0" borderId="16" xfId="8" applyBorder="1"/>
    <xf numFmtId="0" fontId="1" fillId="0" borderId="17" xfId="8" applyBorder="1"/>
    <xf numFmtId="9" fontId="18" fillId="0" borderId="40" xfId="8" applyNumberFormat="1" applyFont="1" applyBorder="1"/>
    <xf numFmtId="0" fontId="1" fillId="0" borderId="0" xfId="8"/>
    <xf numFmtId="0" fontId="18" fillId="0" borderId="29" xfId="8" applyFont="1" applyBorder="1"/>
    <xf numFmtId="0" fontId="18" fillId="0" borderId="24" xfId="8" applyFont="1" applyBorder="1"/>
    <xf numFmtId="0" fontId="1" fillId="0" borderId="41" xfId="8" applyBorder="1"/>
    <xf numFmtId="0" fontId="18" fillId="0" borderId="41" xfId="8" applyFont="1" applyBorder="1"/>
    <xf numFmtId="0" fontId="1" fillId="0" borderId="18" xfId="8" applyBorder="1"/>
    <xf numFmtId="0" fontId="18" fillId="0" borderId="42" xfId="8" applyFont="1" applyBorder="1"/>
    <xf numFmtId="0" fontId="18" fillId="0" borderId="43" xfId="8" applyFont="1" applyBorder="1"/>
    <xf numFmtId="0" fontId="18" fillId="0" borderId="28" xfId="8" applyFont="1" applyBorder="1"/>
    <xf numFmtId="0" fontId="18" fillId="0" borderId="27" xfId="8" applyFont="1" applyBorder="1"/>
    <xf numFmtId="3" fontId="1" fillId="0" borderId="0" xfId="8" applyNumberFormat="1"/>
    <xf numFmtId="3" fontId="18" fillId="0" borderId="0" xfId="8" applyNumberFormat="1" applyFont="1"/>
    <xf numFmtId="3" fontId="18" fillId="0" borderId="30" xfId="8" applyNumberFormat="1" applyFont="1" applyBorder="1"/>
    <xf numFmtId="3" fontId="18" fillId="0" borderId="31" xfId="8" applyNumberFormat="1" applyFont="1" applyBorder="1"/>
    <xf numFmtId="3" fontId="18" fillId="0" borderId="44" xfId="8" applyNumberFormat="1" applyFont="1" applyBorder="1"/>
    <xf numFmtId="3" fontId="18" fillId="0" borderId="0" xfId="9" applyNumberFormat="1" applyFont="1"/>
    <xf numFmtId="3" fontId="1" fillId="0" borderId="45" xfId="8" applyNumberFormat="1" applyBorder="1"/>
    <xf numFmtId="3" fontId="18" fillId="0" borderId="1" xfId="8" applyNumberFormat="1" applyFont="1" applyBorder="1"/>
    <xf numFmtId="3" fontId="18" fillId="0" borderId="32" xfId="8" applyNumberFormat="1" applyFont="1" applyBorder="1"/>
    <xf numFmtId="3" fontId="18" fillId="0" borderId="33" xfId="8" applyNumberFormat="1" applyFont="1" applyBorder="1"/>
    <xf numFmtId="3" fontId="18" fillId="0" borderId="46" xfId="8" applyNumberFormat="1" applyFont="1" applyBorder="1"/>
    <xf numFmtId="3" fontId="1" fillId="0" borderId="1" xfId="8" applyNumberFormat="1" applyBorder="1"/>
    <xf numFmtId="3" fontId="18" fillId="0" borderId="47" xfId="8" applyNumberFormat="1" applyFont="1" applyBorder="1"/>
    <xf numFmtId="3" fontId="18" fillId="0" borderId="48" xfId="8" applyNumberFormat="1" applyFont="1" applyBorder="1"/>
    <xf numFmtId="3" fontId="18" fillId="0" borderId="5" xfId="8" applyNumberFormat="1" applyFont="1" applyBorder="1"/>
    <xf numFmtId="3" fontId="18" fillId="0" borderId="7" xfId="8" applyNumberFormat="1" applyFont="1" applyBorder="1"/>
    <xf numFmtId="3" fontId="18" fillId="0" borderId="0" xfId="9" applyNumberFormat="1" applyFont="1" applyAlignment="1">
      <alignment horizontal="right"/>
    </xf>
    <xf numFmtId="3" fontId="2" fillId="0" borderId="0" xfId="9" applyNumberFormat="1" applyFont="1"/>
    <xf numFmtId="3" fontId="1" fillId="0" borderId="0" xfId="9" applyNumberFormat="1"/>
    <xf numFmtId="3" fontId="20" fillId="0" borderId="0" xfId="9" applyNumberFormat="1" applyFont="1"/>
    <xf numFmtId="165" fontId="0" fillId="0" borderId="5" xfId="10" applyNumberFormat="1" applyFont="1" applyBorder="1"/>
    <xf numFmtId="165" fontId="0" fillId="0" borderId="0" xfId="10" applyNumberFormat="1" applyFont="1"/>
    <xf numFmtId="165" fontId="0" fillId="10" borderId="0" xfId="10" applyNumberFormat="1" applyFont="1" applyFill="1"/>
    <xf numFmtId="165" fontId="0" fillId="14" borderId="0" xfId="10" applyNumberFormat="1" applyFont="1" applyFill="1"/>
    <xf numFmtId="165" fontId="0" fillId="16" borderId="5" xfId="10" applyNumberFormat="1" applyFont="1" applyFill="1" applyBorder="1"/>
    <xf numFmtId="165" fontId="0" fillId="16" borderId="0" xfId="10" applyNumberFormat="1" applyFont="1" applyFill="1"/>
    <xf numFmtId="165" fontId="0" fillId="0" borderId="52" xfId="10" applyNumberFormat="1" applyFont="1" applyBorder="1"/>
    <xf numFmtId="165" fontId="0" fillId="0" borderId="50" xfId="10" applyNumberFormat="1" applyFont="1" applyBorder="1"/>
    <xf numFmtId="165" fontId="0" fillId="10" borderId="50" xfId="10" applyNumberFormat="1" applyFont="1" applyFill="1" applyBorder="1"/>
    <xf numFmtId="165" fontId="0" fillId="14" borderId="50" xfId="10" applyNumberFormat="1" applyFont="1" applyFill="1" applyBorder="1"/>
    <xf numFmtId="165" fontId="0" fillId="16" borderId="52" xfId="10" applyNumberFormat="1" applyFont="1" applyFill="1" applyBorder="1"/>
    <xf numFmtId="165" fontId="0" fillId="16" borderId="50" xfId="10" applyNumberFormat="1" applyFont="1" applyFill="1" applyBorder="1"/>
    <xf numFmtId="164" fontId="4" fillId="0" borderId="0" xfId="0" applyFont="1" applyAlignment="1">
      <alignment horizontal="left"/>
    </xf>
    <xf numFmtId="164" fontId="0" fillId="0" borderId="0" xfId="0" applyAlignment="1">
      <alignment horizontal="left"/>
    </xf>
    <xf numFmtId="164" fontId="0" fillId="10" borderId="5" xfId="0" applyFill="1" applyBorder="1"/>
    <xf numFmtId="164" fontId="0" fillId="10" borderId="0" xfId="0" applyFill="1"/>
    <xf numFmtId="164" fontId="0" fillId="14" borderId="5" xfId="0" applyFill="1" applyBorder="1"/>
    <xf numFmtId="164" fontId="0" fillId="14" borderId="0" xfId="0" applyFill="1"/>
    <xf numFmtId="164" fontId="0" fillId="16" borderId="5" xfId="0" applyFill="1" applyBorder="1"/>
    <xf numFmtId="164" fontId="0" fillId="16" borderId="0" xfId="0" applyFill="1"/>
    <xf numFmtId="164" fontId="0" fillId="10" borderId="52" xfId="0" applyFill="1" applyBorder="1" applyAlignment="1">
      <alignment horizontal="centerContinuous"/>
    </xf>
    <xf numFmtId="164" fontId="0" fillId="10" borderId="51" xfId="0" applyFill="1" applyBorder="1" applyAlignment="1">
      <alignment horizontal="centerContinuous"/>
    </xf>
    <xf numFmtId="164" fontId="0" fillId="10" borderId="50" xfId="0" applyFill="1" applyBorder="1" applyAlignment="1">
      <alignment horizontal="centerContinuous"/>
    </xf>
    <xf numFmtId="164" fontId="0" fillId="14" borderId="52" xfId="0" applyFill="1" applyBorder="1" applyAlignment="1">
      <alignment horizontal="centerContinuous"/>
    </xf>
    <xf numFmtId="164" fontId="0" fillId="14" borderId="50" xfId="0" applyFill="1" applyBorder="1" applyAlignment="1">
      <alignment horizontal="centerContinuous"/>
    </xf>
    <xf numFmtId="164" fontId="0" fillId="16" borderId="52" xfId="0" applyFill="1" applyBorder="1" applyAlignment="1">
      <alignment horizontal="centerContinuous"/>
    </xf>
    <xf numFmtId="164" fontId="0" fillId="16" borderId="50" xfId="0" applyFill="1" applyBorder="1" applyAlignment="1">
      <alignment horizontal="centerContinuous"/>
    </xf>
    <xf numFmtId="1" fontId="0" fillId="23" borderId="50" xfId="0" applyNumberFormat="1" applyFill="1" applyBorder="1" applyAlignment="1">
      <alignment horizontal="left"/>
    </xf>
    <xf numFmtId="1" fontId="2" fillId="23" borderId="23" xfId="0" applyNumberFormat="1" applyFont="1" applyFill="1" applyBorder="1" applyAlignment="1">
      <alignment horizontal="center"/>
    </xf>
    <xf numFmtId="1" fontId="2" fillId="23" borderId="53" xfId="0" applyNumberFormat="1" applyFont="1" applyFill="1" applyBorder="1" applyAlignment="1">
      <alignment horizontal="center"/>
    </xf>
    <xf numFmtId="1" fontId="0" fillId="23" borderId="23" xfId="0" applyNumberFormat="1" applyFill="1" applyBorder="1" applyAlignment="1">
      <alignment horizontal="center"/>
    </xf>
    <xf numFmtId="1" fontId="0" fillId="23" borderId="53" xfId="0" applyNumberFormat="1" applyFill="1" applyBorder="1" applyAlignment="1">
      <alignment horizontal="center"/>
    </xf>
    <xf numFmtId="1" fontId="0" fillId="23" borderId="54" xfId="0" applyNumberFormat="1" applyFill="1" applyBorder="1" applyAlignment="1">
      <alignment horizontal="center"/>
    </xf>
    <xf numFmtId="1" fontId="0" fillId="23" borderId="0" xfId="0" applyNumberFormat="1" applyFill="1"/>
    <xf numFmtId="164" fontId="0" fillId="0" borderId="50" xfId="0" applyBorder="1" applyAlignment="1">
      <alignment horizontal="left"/>
    </xf>
    <xf numFmtId="164" fontId="0" fillId="23" borderId="0" xfId="0" applyFill="1" applyAlignment="1">
      <alignment horizontal="left"/>
    </xf>
    <xf numFmtId="164" fontId="0" fillId="23" borderId="0" xfId="0" applyFill="1"/>
    <xf numFmtId="37" fontId="7" fillId="0" borderId="0" xfId="8" applyNumberFormat="1" applyFont="1" applyAlignment="1">
      <alignment horizontal="centerContinuous"/>
    </xf>
    <xf numFmtId="0" fontId="21" fillId="0" borderId="0" xfId="8" applyFont="1" applyAlignment="1">
      <alignment horizontal="centerContinuous"/>
    </xf>
    <xf numFmtId="0" fontId="2" fillId="0" borderId="0" xfId="8" applyFont="1" applyAlignment="1">
      <alignment horizontal="centerContinuous"/>
    </xf>
    <xf numFmtId="165" fontId="22" fillId="0" borderId="0" xfId="10" applyNumberFormat="1" applyFont="1" applyAlignment="1">
      <alignment horizontal="left"/>
    </xf>
    <xf numFmtId="165" fontId="22" fillId="0" borderId="0" xfId="10" applyNumberFormat="1" applyFont="1" applyAlignment="1">
      <alignment horizontal="centerContinuous"/>
    </xf>
    <xf numFmtId="0" fontId="2" fillId="0" borderId="0" xfId="8" applyFont="1"/>
    <xf numFmtId="37" fontId="4" fillId="0" borderId="0" xfId="8" applyNumberFormat="1" applyFont="1" applyAlignment="1">
      <alignment horizontal="centerContinuous"/>
    </xf>
    <xf numFmtId="0" fontId="1" fillId="0" borderId="0" xfId="8" applyAlignment="1">
      <alignment vertical="top" wrapText="1"/>
    </xf>
    <xf numFmtId="37" fontId="24" fillId="0" borderId="0" xfId="8" applyNumberFormat="1" applyFont="1" applyAlignment="1">
      <alignment horizontal="centerContinuous"/>
    </xf>
    <xf numFmtId="165" fontId="25" fillId="0" borderId="0" xfId="10" applyNumberFormat="1" applyFont="1" applyAlignment="1">
      <alignment horizontal="left"/>
    </xf>
    <xf numFmtId="165" fontId="25" fillId="0" borderId="0" xfId="10" applyNumberFormat="1" applyFont="1" applyAlignment="1">
      <alignment horizontal="centerContinuous"/>
    </xf>
    <xf numFmtId="0" fontId="2" fillId="0" borderId="50" xfId="8" applyFont="1" applyBorder="1"/>
    <xf numFmtId="3" fontId="2" fillId="0" borderId="50" xfId="8" applyNumberFormat="1" applyFont="1" applyBorder="1"/>
    <xf numFmtId="0" fontId="2" fillId="0" borderId="50" xfId="8" applyFont="1" applyBorder="1" applyAlignment="1">
      <alignment horizontal="left"/>
    </xf>
    <xf numFmtId="3" fontId="2" fillId="0" borderId="0" xfId="8" applyNumberFormat="1" applyFont="1"/>
    <xf numFmtId="165" fontId="25" fillId="0" borderId="0" xfId="10" applyNumberFormat="1" applyFont="1"/>
    <xf numFmtId="37" fontId="26" fillId="0" borderId="0" xfId="8" applyNumberFormat="1" applyFont="1"/>
    <xf numFmtId="0" fontId="26" fillId="0" borderId="54" xfId="8" applyFont="1" applyBorder="1" applyAlignment="1">
      <alignment horizontal="centerContinuous"/>
    </xf>
    <xf numFmtId="0" fontId="26" fillId="0" borderId="0" xfId="8" applyFont="1" applyAlignment="1">
      <alignment horizontal="centerContinuous"/>
    </xf>
    <xf numFmtId="165" fontId="27" fillId="0" borderId="0" xfId="10" applyNumberFormat="1" applyFont="1" applyAlignment="1">
      <alignment horizontal="left"/>
    </xf>
    <xf numFmtId="165" fontId="28" fillId="0" borderId="0" xfId="10" applyNumberFormat="1" applyFont="1" applyAlignment="1">
      <alignment horizontal="centerContinuous"/>
    </xf>
    <xf numFmtId="0" fontId="26" fillId="0" borderId="0" xfId="8" applyFont="1"/>
    <xf numFmtId="0" fontId="26" fillId="0" borderId="23" xfId="8" applyFont="1" applyBorder="1" applyAlignment="1">
      <alignment horizontal="center"/>
    </xf>
    <xf numFmtId="0" fontId="26" fillId="0" borderId="54" xfId="8" applyFont="1" applyBorder="1" applyAlignment="1">
      <alignment horizontal="center"/>
    </xf>
    <xf numFmtId="0" fontId="26" fillId="0" borderId="26" xfId="8" applyFont="1" applyBorder="1" applyAlignment="1">
      <alignment horizontal="centerContinuous"/>
    </xf>
    <xf numFmtId="0" fontId="26" fillId="0" borderId="54" xfId="8" applyFont="1" applyBorder="1" applyAlignment="1">
      <alignment horizontal="center" wrapText="1"/>
    </xf>
    <xf numFmtId="0" fontId="26" fillId="0" borderId="53" xfId="8" applyFont="1" applyBorder="1" applyAlignment="1">
      <alignment horizontal="center" wrapText="1"/>
    </xf>
    <xf numFmtId="0" fontId="26" fillId="0" borderId="55" xfId="8" applyFont="1" applyBorder="1" applyAlignment="1">
      <alignment horizontal="center" wrapText="1"/>
    </xf>
    <xf numFmtId="0" fontId="26" fillId="0" borderId="23" xfId="8" applyFont="1" applyBorder="1" applyAlignment="1">
      <alignment horizontal="centerContinuous"/>
    </xf>
    <xf numFmtId="0" fontId="26" fillId="0" borderId="53" xfId="8" applyFont="1" applyBorder="1" applyAlignment="1">
      <alignment horizontal="centerContinuous"/>
    </xf>
    <xf numFmtId="0" fontId="26" fillId="0" borderId="52" xfId="8" applyFont="1" applyBorder="1" applyAlignment="1">
      <alignment horizontal="center" wrapText="1"/>
    </xf>
    <xf numFmtId="3" fontId="28" fillId="0" borderId="0" xfId="8" applyNumberFormat="1" applyFont="1"/>
    <xf numFmtId="0" fontId="28" fillId="0" borderId="0" xfId="8" applyFont="1"/>
    <xf numFmtId="0" fontId="2" fillId="0" borderId="22" xfId="8" applyFont="1" applyBorder="1" applyAlignment="1">
      <alignment horizontal="left"/>
    </xf>
    <xf numFmtId="169" fontId="2" fillId="0" borderId="0" xfId="11" applyNumberFormat="1" applyFont="1" applyAlignment="1">
      <alignment horizontal="right"/>
    </xf>
    <xf numFmtId="169" fontId="9" fillId="0" borderId="56" xfId="10" applyNumberFormat="1" applyFont="1" applyBorder="1" applyAlignment="1">
      <alignment horizontal="right"/>
    </xf>
    <xf numFmtId="170" fontId="2" fillId="0" borderId="57" xfId="11" applyNumberFormat="1" applyFont="1" applyBorder="1" applyAlignment="1">
      <alignment horizontal="right"/>
    </xf>
    <xf numFmtId="169" fontId="2" fillId="0" borderId="22" xfId="8" applyNumberFormat="1" applyFont="1" applyBorder="1"/>
    <xf numFmtId="169" fontId="2" fillId="0" borderId="57" xfId="11" applyNumberFormat="1" applyFont="1" applyBorder="1" applyAlignment="1">
      <alignment horizontal="right"/>
    </xf>
    <xf numFmtId="168" fontId="25" fillId="0" borderId="0" xfId="10" applyNumberFormat="1" applyFont="1" applyAlignment="1">
      <alignment horizontal="right"/>
    </xf>
    <xf numFmtId="169" fontId="2" fillId="0" borderId="0" xfId="8" applyNumberFormat="1" applyFont="1"/>
    <xf numFmtId="2" fontId="2" fillId="0" borderId="49" xfId="11" applyNumberFormat="1" applyFont="1" applyBorder="1" applyAlignment="1">
      <alignment horizontal="right"/>
    </xf>
    <xf numFmtId="169" fontId="2" fillId="0" borderId="49" xfId="11" applyNumberFormat="1" applyFont="1" applyBorder="1" applyAlignment="1">
      <alignment horizontal="right"/>
    </xf>
    <xf numFmtId="170" fontId="2" fillId="0" borderId="0" xfId="11" applyNumberFormat="1" applyFont="1" applyAlignment="1">
      <alignment horizontal="right"/>
    </xf>
    <xf numFmtId="171" fontId="2" fillId="0" borderId="49" xfId="11" applyNumberFormat="1" applyFont="1" applyBorder="1" applyAlignment="1">
      <alignment horizontal="right"/>
    </xf>
    <xf numFmtId="170" fontId="2" fillId="0" borderId="49" xfId="11" applyNumberFormat="1" applyFont="1" applyBorder="1" applyAlignment="1">
      <alignment horizontal="right"/>
    </xf>
    <xf numFmtId="2" fontId="2" fillId="0" borderId="0" xfId="11" applyNumberFormat="1" applyFont="1" applyAlignment="1">
      <alignment horizontal="right"/>
    </xf>
    <xf numFmtId="169" fontId="2" fillId="0" borderId="50" xfId="11" applyNumberFormat="1" applyFont="1" applyBorder="1" applyAlignment="1">
      <alignment horizontal="right"/>
    </xf>
    <xf numFmtId="169" fontId="9" fillId="0" borderId="58" xfId="10" applyNumberFormat="1" applyFont="1" applyBorder="1" applyAlignment="1">
      <alignment horizontal="right"/>
    </xf>
    <xf numFmtId="169" fontId="2" fillId="0" borderId="51" xfId="11" applyNumberFormat="1" applyFont="1" applyBorder="1" applyAlignment="1">
      <alignment horizontal="right"/>
    </xf>
    <xf numFmtId="169" fontId="2" fillId="0" borderId="50" xfId="8" applyNumberFormat="1" applyFont="1" applyBorder="1"/>
    <xf numFmtId="0" fontId="31" fillId="0" borderId="0" xfId="8" applyFont="1" applyAlignment="1">
      <alignment wrapText="1"/>
    </xf>
    <xf numFmtId="0" fontId="23" fillId="0" borderId="0" xfId="8" applyFont="1"/>
    <xf numFmtId="0" fontId="31" fillId="0" borderId="0" xfId="8" applyFont="1" applyAlignment="1">
      <alignment vertical="top"/>
    </xf>
    <xf numFmtId="168" fontId="23" fillId="0" borderId="0" xfId="10" applyNumberFormat="1" applyFont="1" applyAlignment="1">
      <alignment horizontal="right"/>
    </xf>
    <xf numFmtId="168" fontId="23" fillId="0" borderId="0" xfId="10" applyNumberFormat="1" applyFont="1" applyAlignment="1">
      <alignment horizontal="right" indent="1"/>
    </xf>
    <xf numFmtId="169" fontId="23" fillId="0" borderId="0" xfId="8" applyNumberFormat="1" applyFont="1"/>
    <xf numFmtId="0" fontId="31" fillId="0" borderId="0" xfId="8" applyFont="1" applyAlignment="1">
      <alignment vertical="top" wrapText="1"/>
    </xf>
    <xf numFmtId="49" fontId="23" fillId="0" borderId="0" xfId="8" quotePrefix="1" applyNumberFormat="1" applyFont="1" applyAlignment="1">
      <alignment horizontal="right"/>
    </xf>
    <xf numFmtId="3" fontId="26" fillId="0" borderId="0" xfId="8" applyNumberFormat="1" applyFont="1"/>
    <xf numFmtId="0" fontId="2" fillId="0" borderId="22" xfId="8" applyFont="1" applyBorder="1"/>
    <xf numFmtId="171" fontId="2" fillId="0" borderId="0" xfId="11" applyNumberFormat="1" applyFont="1" applyAlignment="1">
      <alignment horizontal="right"/>
    </xf>
    <xf numFmtId="171" fontId="2" fillId="0" borderId="50" xfId="11" applyNumberFormat="1" applyFont="1" applyBorder="1" applyAlignment="1">
      <alignment horizontal="right"/>
    </xf>
    <xf numFmtId="0" fontId="31" fillId="0" borderId="0" xfId="8" applyFont="1"/>
    <xf numFmtId="168" fontId="23" fillId="0" borderId="0" xfId="8" applyNumberFormat="1" applyFont="1"/>
    <xf numFmtId="0" fontId="23" fillId="0" borderId="0" xfId="8" applyFont="1" applyAlignment="1">
      <alignment horizontal="centerContinuous"/>
    </xf>
    <xf numFmtId="0" fontId="18" fillId="0" borderId="0" xfId="8" applyFont="1" applyAlignment="1">
      <alignment vertical="top" wrapText="1"/>
    </xf>
    <xf numFmtId="2" fontId="2" fillId="0" borderId="57" xfId="11" applyNumberFormat="1" applyFont="1" applyBorder="1" applyAlignment="1">
      <alignment horizontal="right"/>
    </xf>
    <xf numFmtId="2" fontId="2" fillId="0" borderId="50" xfId="11" applyNumberFormat="1" applyFont="1" applyBorder="1" applyAlignment="1">
      <alignment horizontal="right"/>
    </xf>
    <xf numFmtId="169" fontId="32" fillId="0" borderId="0" xfId="12" applyNumberFormat="1" applyFill="1" applyAlignment="1">
      <alignment horizontal="right"/>
    </xf>
    <xf numFmtId="2" fontId="2" fillId="0" borderId="51" xfId="11" applyNumberFormat="1" applyFont="1" applyBorder="1" applyAlignment="1">
      <alignment horizontal="right"/>
    </xf>
    <xf numFmtId="0" fontId="2" fillId="0" borderId="0" xfId="8" applyFont="1" applyAlignment="1">
      <alignment horizontal="left"/>
    </xf>
    <xf numFmtId="1" fontId="2" fillId="0" borderId="0" xfId="8" applyNumberFormat="1" applyFont="1"/>
    <xf numFmtId="169" fontId="2" fillId="0" borderId="0" xfId="10" applyNumberFormat="1"/>
    <xf numFmtId="168" fontId="33" fillId="0" borderId="0" xfId="10" applyNumberFormat="1" applyFont="1" applyAlignment="1">
      <alignment horizontal="right"/>
    </xf>
    <xf numFmtId="165" fontId="33" fillId="0" borderId="0" xfId="10" applyNumberFormat="1" applyFont="1"/>
    <xf numFmtId="169" fontId="2" fillId="0" borderId="0" xfId="10" applyNumberFormat="1" applyAlignment="1">
      <alignment horizontal="right"/>
    </xf>
    <xf numFmtId="169" fontId="2" fillId="0" borderId="0" xfId="10" applyNumberFormat="1" applyAlignment="1">
      <alignment horizontal="right" indent="1"/>
    </xf>
    <xf numFmtId="0" fontId="33" fillId="0" borderId="0" xfId="8" applyFont="1"/>
    <xf numFmtId="0" fontId="23" fillId="0" borderId="0" xfId="8" applyFont="1" applyAlignment="1">
      <alignment horizontal="left"/>
    </xf>
    <xf numFmtId="169" fontId="2" fillId="0" borderId="0" xfId="11" quotePrefix="1" applyNumberFormat="1" applyFont="1" applyAlignment="1">
      <alignment horizontal="left"/>
    </xf>
    <xf numFmtId="0" fontId="1" fillId="0" borderId="0" xfId="8" applyAlignment="1">
      <alignment wrapText="1"/>
    </xf>
    <xf numFmtId="165" fontId="33" fillId="0" borderId="0" xfId="10" applyNumberFormat="1" applyFont="1" applyAlignment="1">
      <alignment horizontal="left"/>
    </xf>
    <xf numFmtId="165" fontId="2" fillId="0" borderId="0" xfId="10" applyNumberFormat="1" applyAlignment="1">
      <alignment horizontal="left"/>
    </xf>
    <xf numFmtId="0" fontId="25" fillId="0" borderId="0" xfId="8" applyFont="1"/>
    <xf numFmtId="165" fontId="38" fillId="0" borderId="0" xfId="10" applyNumberFormat="1" applyFont="1" applyAlignment="1">
      <alignment horizontal="left"/>
    </xf>
    <xf numFmtId="165" fontId="26" fillId="0" borderId="0" xfId="10" applyNumberFormat="1" applyFont="1" applyAlignment="1">
      <alignment horizontal="centerContinuous"/>
    </xf>
    <xf numFmtId="169" fontId="2" fillId="0" borderId="0" xfId="11" quotePrefix="1" applyNumberFormat="1" applyFont="1" applyAlignment="1">
      <alignment horizontal="right"/>
    </xf>
    <xf numFmtId="169" fontId="25" fillId="0" borderId="0" xfId="8" applyNumberFormat="1" applyFont="1"/>
    <xf numFmtId="1" fontId="25" fillId="0" borderId="0" xfId="8" applyNumberFormat="1" applyFont="1"/>
    <xf numFmtId="172" fontId="2" fillId="0" borderId="0" xfId="11" applyNumberFormat="1" applyFont="1" applyAlignment="1">
      <alignment horizontal="right"/>
    </xf>
    <xf numFmtId="169" fontId="33" fillId="0" borderId="0" xfId="8" applyNumberFormat="1" applyFont="1"/>
    <xf numFmtId="3" fontId="25" fillId="0" borderId="0" xfId="8" applyNumberFormat="1" applyFont="1"/>
    <xf numFmtId="0" fontId="18" fillId="0" borderId="0" xfId="8" applyFont="1" applyAlignment="1">
      <alignment wrapText="1"/>
    </xf>
    <xf numFmtId="49" fontId="7" fillId="0" borderId="0" xfId="8" applyNumberFormat="1" applyFont="1" applyAlignment="1" applyProtection="1">
      <alignment horizontal="centerContinuous"/>
      <protection locked="0"/>
    </xf>
    <xf numFmtId="0" fontId="1" fillId="0" borderId="0" xfId="8" applyAlignment="1">
      <alignment horizontal="centerContinuous"/>
    </xf>
    <xf numFmtId="0" fontId="18" fillId="0" borderId="0" xfId="8" applyFont="1" applyAlignment="1">
      <alignment horizontal="centerContinuous"/>
    </xf>
    <xf numFmtId="37" fontId="39" fillId="0" borderId="0" xfId="8" applyNumberFormat="1" applyFont="1" applyAlignment="1">
      <alignment horizontal="centerContinuous"/>
    </xf>
    <xf numFmtId="37" fontId="40" fillId="0" borderId="50" xfId="8" applyNumberFormat="1" applyFont="1" applyBorder="1"/>
    <xf numFmtId="0" fontId="1" fillId="0" borderId="50" xfId="8" applyBorder="1"/>
    <xf numFmtId="0" fontId="18" fillId="0" borderId="50" xfId="8" applyFont="1" applyBorder="1"/>
    <xf numFmtId="37" fontId="40" fillId="0" borderId="54" xfId="8" applyNumberFormat="1" applyFont="1" applyBorder="1"/>
    <xf numFmtId="0" fontId="4" fillId="0" borderId="54" xfId="8" applyFont="1" applyBorder="1" applyAlignment="1">
      <alignment horizontal="center"/>
    </xf>
    <xf numFmtId="0" fontId="4" fillId="0" borderId="23" xfId="8" applyFont="1" applyBorder="1" applyAlignment="1">
      <alignment horizontal="center"/>
    </xf>
    <xf numFmtId="0" fontId="4" fillId="0" borderId="23" xfId="8" applyFont="1" applyBorder="1" applyAlignment="1">
      <alignment horizontal="centerContinuous"/>
    </xf>
    <xf numFmtId="0" fontId="4" fillId="0" borderId="54" xfId="8" applyFont="1" applyBorder="1" applyAlignment="1">
      <alignment horizontal="centerContinuous"/>
    </xf>
    <xf numFmtId="0" fontId="4" fillId="0" borderId="0" xfId="8" applyFont="1"/>
    <xf numFmtId="37" fontId="40" fillId="0" borderId="54" xfId="8" applyNumberFormat="1" applyFont="1" applyBorder="1" applyAlignment="1">
      <alignment horizontal="center"/>
    </xf>
    <xf numFmtId="0" fontId="4" fillId="0" borderId="55" xfId="8" applyFont="1" applyBorder="1" applyAlignment="1">
      <alignment horizontal="center"/>
    </xf>
    <xf numFmtId="0" fontId="4" fillId="0" borderId="23" xfId="8" applyFont="1" applyBorder="1" applyAlignment="1">
      <alignment horizontal="center" wrapText="1"/>
    </xf>
    <xf numFmtId="0" fontId="4" fillId="0" borderId="0" xfId="8" applyFont="1" applyAlignment="1">
      <alignment horizontal="center"/>
    </xf>
    <xf numFmtId="169" fontId="2" fillId="0" borderId="0" xfId="8" applyNumberFormat="1" applyFont="1" applyAlignment="1">
      <alignment horizontal="center"/>
    </xf>
    <xf numFmtId="169" fontId="2" fillId="0" borderId="59" xfId="8" applyNumberFormat="1" applyFont="1" applyBorder="1" applyAlignment="1">
      <alignment horizontal="center"/>
    </xf>
    <xf numFmtId="169" fontId="2" fillId="0" borderId="31" xfId="8" applyNumberFormat="1" applyFont="1" applyBorder="1" applyAlignment="1">
      <alignment horizontal="center"/>
    </xf>
    <xf numFmtId="169" fontId="2" fillId="0" borderId="31" xfId="8" applyNumberFormat="1" applyFont="1" applyBorder="1"/>
    <xf numFmtId="169" fontId="2" fillId="0" borderId="26" xfId="8" applyNumberFormat="1" applyFont="1" applyBorder="1" applyAlignment="1">
      <alignment horizontal="center"/>
    </xf>
    <xf numFmtId="169" fontId="2" fillId="0" borderId="56" xfId="8" applyNumberFormat="1" applyFont="1" applyBorder="1" applyAlignment="1">
      <alignment horizontal="center"/>
    </xf>
    <xf numFmtId="169" fontId="2" fillId="0" borderId="50" xfId="8" applyNumberFormat="1" applyFont="1" applyBorder="1" applyAlignment="1">
      <alignment horizontal="center"/>
    </xf>
    <xf numFmtId="169" fontId="2" fillId="0" borderId="58" xfId="8" applyNumberFormat="1" applyFont="1" applyBorder="1" applyAlignment="1">
      <alignment horizontal="center"/>
    </xf>
    <xf numFmtId="169" fontId="2" fillId="0" borderId="52" xfId="8" applyNumberFormat="1" applyFont="1" applyBorder="1" applyAlignment="1">
      <alignment horizontal="center"/>
    </xf>
    <xf numFmtId="169" fontId="2" fillId="0" borderId="51" xfId="8" applyNumberFormat="1" applyFont="1" applyBorder="1" applyAlignment="1">
      <alignment horizontal="center"/>
    </xf>
    <xf numFmtId="169" fontId="2" fillId="0" borderId="52" xfId="8" applyNumberFormat="1" applyFont="1" applyBorder="1"/>
    <xf numFmtId="49" fontId="23" fillId="0" borderId="0" xfId="8" applyNumberFormat="1" applyFont="1" applyAlignment="1">
      <alignment horizontal="right"/>
    </xf>
    <xf numFmtId="37" fontId="39" fillId="0" borderId="0" xfId="8" applyNumberFormat="1" applyFont="1" applyAlignment="1">
      <alignment horizontal="center"/>
    </xf>
    <xf numFmtId="37" fontId="40" fillId="0" borderId="0" xfId="8" applyNumberFormat="1" applyFont="1" applyAlignment="1">
      <alignment horizontal="centerContinuous"/>
    </xf>
    <xf numFmtId="0" fontId="4" fillId="0" borderId="53" xfId="8" applyFont="1" applyBorder="1" applyAlignment="1">
      <alignment horizontal="centerContinuous"/>
    </xf>
    <xf numFmtId="0" fontId="2" fillId="0" borderId="31" xfId="8" applyFont="1" applyBorder="1"/>
    <xf numFmtId="0" fontId="23" fillId="0" borderId="31" xfId="8" applyFont="1" applyBorder="1"/>
    <xf numFmtId="169" fontId="18" fillId="0" borderId="31" xfId="8" applyNumberFormat="1" applyFont="1" applyBorder="1" applyAlignment="1">
      <alignment horizontal="center"/>
    </xf>
    <xf numFmtId="0" fontId="18" fillId="0" borderId="0" xfId="8" applyFont="1" applyAlignment="1">
      <alignment horizontal="center"/>
    </xf>
    <xf numFmtId="0" fontId="1" fillId="0" borderId="0" xfId="8" applyAlignment="1">
      <alignment horizontal="center"/>
    </xf>
    <xf numFmtId="0" fontId="2" fillId="0" borderId="0" xfId="8" applyFont="1" applyAlignment="1">
      <alignment horizontal="center"/>
    </xf>
    <xf numFmtId="37" fontId="40" fillId="0" borderId="50" xfId="8" applyNumberFormat="1" applyFont="1" applyBorder="1" applyAlignment="1">
      <alignment horizontal="centerContinuous"/>
    </xf>
    <xf numFmtId="0" fontId="1" fillId="0" borderId="50" xfId="8" applyBorder="1" applyAlignment="1">
      <alignment horizontal="centerContinuous"/>
    </xf>
    <xf numFmtId="169" fontId="2" fillId="0" borderId="22" xfId="8" applyNumberFormat="1" applyFont="1" applyBorder="1" applyAlignment="1">
      <alignment horizontal="center"/>
    </xf>
    <xf numFmtId="169" fontId="18" fillId="0" borderId="0" xfId="8" applyNumberFormat="1" applyFont="1"/>
    <xf numFmtId="169" fontId="1" fillId="0" borderId="0" xfId="8" applyNumberFormat="1"/>
    <xf numFmtId="0" fontId="18" fillId="0" borderId="0" xfId="8" applyFont="1" applyAlignment="1" applyProtection="1">
      <alignment vertical="center" wrapText="1"/>
      <protection locked="0"/>
    </xf>
    <xf numFmtId="0" fontId="1" fillId="0" borderId="0" xfId="8" applyAlignment="1" applyProtection="1">
      <alignment vertical="center" wrapText="1"/>
      <protection locked="0"/>
    </xf>
    <xf numFmtId="37" fontId="4" fillId="0" borderId="50" xfId="8" applyNumberFormat="1" applyFont="1" applyBorder="1"/>
    <xf numFmtId="37" fontId="26" fillId="0" borderId="54" xfId="8" applyNumberFormat="1" applyFont="1" applyBorder="1"/>
    <xf numFmtId="37" fontId="26" fillId="0" borderId="54" xfId="8" applyNumberFormat="1" applyFont="1" applyBorder="1" applyAlignment="1">
      <alignment horizontal="center"/>
    </xf>
    <xf numFmtId="0" fontId="26" fillId="0" borderId="55" xfId="8" applyFont="1" applyBorder="1" applyAlignment="1">
      <alignment horizontal="center"/>
    </xf>
    <xf numFmtId="0" fontId="26" fillId="0" borderId="23" xfId="8" applyFont="1" applyBorder="1" applyAlignment="1">
      <alignment horizontal="center" wrapText="1"/>
    </xf>
    <xf numFmtId="169" fontId="18" fillId="0" borderId="0" xfId="8" applyNumberFormat="1" applyFont="1" applyAlignment="1">
      <alignment horizontal="right"/>
    </xf>
    <xf numFmtId="37" fontId="24" fillId="0" borderId="0" xfId="8" applyNumberFormat="1" applyFont="1" applyAlignment="1">
      <alignment horizontal="center"/>
    </xf>
    <xf numFmtId="0" fontId="8" fillId="0" borderId="0" xfId="8" applyFont="1" applyAlignment="1">
      <alignment horizontal="center"/>
    </xf>
    <xf numFmtId="0" fontId="8" fillId="0" borderId="0" xfId="8" applyFont="1"/>
    <xf numFmtId="169" fontId="20" fillId="0" borderId="0" xfId="8" applyNumberFormat="1" applyFont="1"/>
    <xf numFmtId="169" fontId="2" fillId="0" borderId="0" xfId="8" applyNumberFormat="1" applyFont="1" applyAlignment="1">
      <alignment horizontal="right"/>
    </xf>
    <xf numFmtId="2" fontId="2" fillId="0" borderId="0" xfId="8" applyNumberFormat="1" applyFont="1" applyAlignment="1">
      <alignment horizontal="right"/>
    </xf>
    <xf numFmtId="37" fontId="4" fillId="0" borderId="54" xfId="8" applyNumberFormat="1" applyFont="1" applyBorder="1"/>
    <xf numFmtId="37" fontId="4" fillId="0" borderId="54" xfId="8" applyNumberFormat="1" applyFont="1" applyBorder="1" applyAlignment="1">
      <alignment horizontal="center"/>
    </xf>
    <xf numFmtId="3" fontId="11" fillId="6" borderId="56" xfId="0" applyNumberFormat="1" applyFont="1" applyFill="1" applyBorder="1"/>
    <xf numFmtId="164" fontId="4" fillId="0" borderId="52" xfId="0" applyFont="1" applyBorder="1" applyAlignment="1">
      <alignment horizontal="centerContinuous" wrapText="1"/>
    </xf>
    <xf numFmtId="164" fontId="6" fillId="0" borderId="50" xfId="0" applyFont="1" applyBorder="1" applyAlignment="1">
      <alignment horizontal="centerContinuous"/>
    </xf>
    <xf numFmtId="164" fontId="11" fillId="0" borderId="52" xfId="0" applyFont="1" applyBorder="1" applyAlignment="1">
      <alignment horizontal="centerContinuous" wrapText="1"/>
    </xf>
    <xf numFmtId="164" fontId="5" fillId="0" borderId="58" xfId="0" applyFont="1" applyBorder="1" applyAlignment="1">
      <alignment horizontal="center" wrapText="1"/>
    </xf>
    <xf numFmtId="164" fontId="4" fillId="0" borderId="58" xfId="0" applyFont="1" applyBorder="1" applyAlignment="1">
      <alignment horizontal="centerContinuous" wrapText="1"/>
    </xf>
    <xf numFmtId="164" fontId="2" fillId="3" borderId="49" xfId="0" applyFont="1" applyFill="1" applyBorder="1" applyAlignment="1">
      <alignment horizontal="center" wrapText="1"/>
    </xf>
    <xf numFmtId="9" fontId="18" fillId="0" borderId="19" xfId="8" applyNumberFormat="1" applyFont="1" applyBorder="1"/>
    <xf numFmtId="0" fontId="1" fillId="0" borderId="5" xfId="8" applyBorder="1"/>
    <xf numFmtId="0" fontId="18" fillId="0" borderId="20" xfId="8" applyFont="1" applyBorder="1"/>
    <xf numFmtId="0" fontId="18" fillId="0" borderId="21" xfId="8" applyFont="1" applyBorder="1"/>
    <xf numFmtId="0" fontId="18" fillId="0" borderId="22" xfId="8" applyFont="1" applyBorder="1"/>
    <xf numFmtId="0" fontId="18" fillId="0" borderId="23" xfId="8" applyFont="1" applyBorder="1"/>
    <xf numFmtId="9" fontId="18" fillId="0" borderId="24" xfId="8" applyNumberFormat="1" applyFont="1" applyBorder="1"/>
    <xf numFmtId="9" fontId="18" fillId="0" borderId="16" xfId="8" applyNumberFormat="1" applyFont="1" applyBorder="1"/>
    <xf numFmtId="0" fontId="18" fillId="0" borderId="26" xfId="8" applyFont="1" applyBorder="1"/>
    <xf numFmtId="0" fontId="18" fillId="0" borderId="5" xfId="8" applyFont="1" applyBorder="1"/>
    <xf numFmtId="9" fontId="18" fillId="0" borderId="27" xfId="8" applyNumberFormat="1" applyFont="1" applyBorder="1"/>
    <xf numFmtId="9" fontId="18" fillId="0" borderId="28" xfId="8" applyNumberFormat="1" applyFont="1" applyBorder="1"/>
    <xf numFmtId="0" fontId="19" fillId="0" borderId="16" xfId="8" applyFont="1" applyBorder="1"/>
    <xf numFmtId="166" fontId="18" fillId="0" borderId="16" xfId="8" applyNumberFormat="1" applyFont="1" applyBorder="1"/>
    <xf numFmtId="166" fontId="18" fillId="0" borderId="18" xfId="8" applyNumberFormat="1" applyFont="1" applyBorder="1"/>
    <xf numFmtId="166" fontId="18" fillId="0" borderId="29" xfId="8" applyNumberFormat="1" applyFont="1" applyBorder="1"/>
    <xf numFmtId="0" fontId="19" fillId="0" borderId="25" xfId="8" applyFont="1" applyBorder="1"/>
    <xf numFmtId="0" fontId="18" fillId="0" borderId="30" xfId="8" applyFont="1" applyBorder="1"/>
    <xf numFmtId="166" fontId="18" fillId="0" borderId="30" xfId="8" applyNumberFormat="1" applyFont="1" applyBorder="1"/>
    <xf numFmtId="166" fontId="18" fillId="0" borderId="0" xfId="8" applyNumberFormat="1" applyFont="1"/>
    <xf numFmtId="166" fontId="18" fillId="0" borderId="31" xfId="8" applyNumberFormat="1" applyFont="1" applyBorder="1"/>
    <xf numFmtId="0" fontId="1" fillId="0" borderId="31" xfId="8" applyBorder="1"/>
    <xf numFmtId="0" fontId="19" fillId="0" borderId="32" xfId="8" applyFont="1" applyBorder="1" applyAlignment="1">
      <alignment horizontal="right"/>
    </xf>
    <xf numFmtId="167" fontId="19" fillId="0" borderId="32" xfId="8" applyNumberFormat="1" applyFont="1" applyBorder="1"/>
    <xf numFmtId="167" fontId="19" fillId="0" borderId="1" xfId="8" applyNumberFormat="1" applyFont="1" applyBorder="1"/>
    <xf numFmtId="167" fontId="19" fillId="0" borderId="7" xfId="8" applyNumberFormat="1" applyFont="1" applyBorder="1"/>
    <xf numFmtId="167" fontId="19" fillId="0" borderId="33" xfId="8" applyNumberFormat="1" applyFont="1" applyBorder="1"/>
    <xf numFmtId="168" fontId="18" fillId="0" borderId="0" xfId="9" applyNumberFormat="1" applyFont="1" applyFill="1"/>
    <xf numFmtId="0" fontId="19" fillId="0" borderId="34" xfId="8" applyFont="1" applyBorder="1" applyAlignment="1">
      <alignment horizontal="right"/>
    </xf>
    <xf numFmtId="167" fontId="19" fillId="0" borderId="34" xfId="8" applyNumberFormat="1" applyFont="1" applyBorder="1"/>
    <xf numFmtId="167" fontId="19" fillId="0" borderId="35" xfId="8" applyNumberFormat="1" applyFont="1" applyBorder="1"/>
    <xf numFmtId="167" fontId="19" fillId="0" borderId="36" xfId="8" applyNumberFormat="1" applyFont="1" applyBorder="1"/>
    <xf numFmtId="0" fontId="19" fillId="0" borderId="37" xfId="8" applyFont="1" applyBorder="1"/>
    <xf numFmtId="0" fontId="19" fillId="0" borderId="37" xfId="8" applyFont="1" applyBorder="1" applyAlignment="1">
      <alignment horizontal="right"/>
    </xf>
    <xf numFmtId="167" fontId="19" fillId="0" borderId="37" xfId="8" applyNumberFormat="1" applyFont="1" applyBorder="1"/>
    <xf numFmtId="167" fontId="19" fillId="0" borderId="38" xfId="8" applyNumberFormat="1" applyFont="1" applyBorder="1"/>
    <xf numFmtId="167" fontId="19" fillId="0" borderId="39" xfId="8" applyNumberFormat="1" applyFont="1" applyBorder="1"/>
    <xf numFmtId="0" fontId="19" fillId="0" borderId="30" xfId="8" applyFont="1" applyBorder="1"/>
    <xf numFmtId="0" fontId="20" fillId="0" borderId="0" xfId="8" applyFont="1"/>
    <xf numFmtId="168" fontId="18" fillId="0" borderId="0" xfId="10" applyNumberFormat="1" applyFont="1" applyFill="1"/>
    <xf numFmtId="0" fontId="19" fillId="0" borderId="32" xfId="8" applyFont="1" applyBorder="1"/>
    <xf numFmtId="1" fontId="10" fillId="4" borderId="60" xfId="0" applyNumberFormat="1" applyFont="1" applyFill="1" applyBorder="1" applyAlignment="1">
      <alignment horizontal="center"/>
    </xf>
    <xf numFmtId="164" fontId="4" fillId="0" borderId="55" xfId="0" applyFont="1" applyBorder="1" applyAlignment="1">
      <alignment horizontal="center" wrapText="1"/>
    </xf>
    <xf numFmtId="164" fontId="4" fillId="25" borderId="0" xfId="0" applyFont="1" applyFill="1" applyAlignment="1">
      <alignment horizontal="left"/>
    </xf>
    <xf numFmtId="37" fontId="24" fillId="0" borderId="0" xfId="8" applyNumberFormat="1" applyFont="1"/>
    <xf numFmtId="164" fontId="2" fillId="25" borderId="0" xfId="0" applyFont="1" applyFill="1" applyAlignment="1">
      <alignment horizontal="center"/>
    </xf>
    <xf numFmtId="164" fontId="2" fillId="25" borderId="0" xfId="0" applyFont="1" applyFill="1" applyAlignment="1">
      <alignment horizontal="left"/>
    </xf>
    <xf numFmtId="164" fontId="2" fillId="30" borderId="0" xfId="0" applyFont="1" applyFill="1" applyAlignment="1">
      <alignment horizontal="left"/>
    </xf>
    <xf numFmtId="164" fontId="4" fillId="30" borderId="0" xfId="0" applyFont="1" applyFill="1" applyAlignment="1">
      <alignment horizontal="left"/>
    </xf>
    <xf numFmtId="164" fontId="2" fillId="30" borderId="0" xfId="0" applyFont="1" applyFill="1" applyAlignment="1">
      <alignment horizontal="center"/>
    </xf>
    <xf numFmtId="164" fontId="8" fillId="30" borderId="0" xfId="0" applyFont="1" applyFill="1" applyAlignment="1">
      <alignment horizontal="left"/>
    </xf>
    <xf numFmtId="164" fontId="2" fillId="15" borderId="0" xfId="0" applyFont="1" applyFill="1" applyAlignment="1">
      <alignment horizontal="left"/>
    </xf>
    <xf numFmtId="164" fontId="2" fillId="31" borderId="0" xfId="0" applyFont="1" applyFill="1" applyAlignment="1">
      <alignment horizontal="center"/>
    </xf>
    <xf numFmtId="164" fontId="2" fillId="31" borderId="0" xfId="0" applyFont="1" applyFill="1" applyAlignment="1">
      <alignment horizontal="left"/>
    </xf>
    <xf numFmtId="164" fontId="4" fillId="31" borderId="0" xfId="0" applyFont="1" applyFill="1" applyAlignment="1">
      <alignment horizontal="left"/>
    </xf>
    <xf numFmtId="164" fontId="8" fillId="31" borderId="0" xfId="0" applyFont="1" applyFill="1" applyAlignment="1">
      <alignment horizontal="left"/>
    </xf>
    <xf numFmtId="164" fontId="2" fillId="32" borderId="0" xfId="0" applyFont="1" applyFill="1" applyAlignment="1">
      <alignment horizontal="center"/>
    </xf>
    <xf numFmtId="164" fontId="2" fillId="32" borderId="0" xfId="0" applyFont="1" applyFill="1" applyAlignment="1">
      <alignment horizontal="left"/>
    </xf>
    <xf numFmtId="164" fontId="8" fillId="32" borderId="0" xfId="0" applyFont="1" applyFill="1" applyAlignment="1">
      <alignment horizontal="left"/>
    </xf>
    <xf numFmtId="164" fontId="4" fillId="32" borderId="0" xfId="0" applyFont="1" applyFill="1" applyAlignment="1">
      <alignment horizontal="left"/>
    </xf>
    <xf numFmtId="164" fontId="17" fillId="32" borderId="0" xfId="0" applyFont="1" applyFill="1" applyAlignment="1">
      <alignment horizontal="left"/>
    </xf>
    <xf numFmtId="164" fontId="2" fillId="33" borderId="0" xfId="0" applyFont="1" applyFill="1" applyAlignment="1">
      <alignment horizontal="left"/>
    </xf>
    <xf numFmtId="164" fontId="4" fillId="33" borderId="0" xfId="0" applyFont="1" applyFill="1" applyAlignment="1">
      <alignment horizontal="left"/>
    </xf>
    <xf numFmtId="164" fontId="2" fillId="19" borderId="0" xfId="0" applyFont="1" applyFill="1" applyAlignment="1">
      <alignment horizontal="center"/>
    </xf>
    <xf numFmtId="164" fontId="2" fillId="33" borderId="0" xfId="0" applyFont="1" applyFill="1" applyAlignment="1">
      <alignment horizontal="center"/>
    </xf>
    <xf numFmtId="164" fontId="2" fillId="19" borderId="0" xfId="0" applyFont="1" applyFill="1" applyAlignment="1">
      <alignment horizontal="left"/>
    </xf>
    <xf numFmtId="164" fontId="8" fillId="33" borderId="0" xfId="0" applyFont="1" applyFill="1" applyAlignment="1">
      <alignment horizontal="left"/>
    </xf>
    <xf numFmtId="164" fontId="8" fillId="33" borderId="0" xfId="0" applyFont="1" applyFill="1" applyAlignment="1">
      <alignment horizontal="center"/>
    </xf>
    <xf numFmtId="164" fontId="2" fillId="20" borderId="0" xfId="0" applyFont="1" applyFill="1" applyAlignment="1">
      <alignment horizontal="left"/>
    </xf>
    <xf numFmtId="164" fontId="2" fillId="20" borderId="0" xfId="0" applyFont="1" applyFill="1" applyAlignment="1">
      <alignment horizontal="center"/>
    </xf>
    <xf numFmtId="164" fontId="2" fillId="34" borderId="0" xfId="0" applyFont="1" applyFill="1" applyAlignment="1">
      <alignment horizontal="center"/>
    </xf>
    <xf numFmtId="164" fontId="2" fillId="15" borderId="0" xfId="0" applyFont="1" applyFill="1" applyAlignment="1">
      <alignment horizontal="center"/>
    </xf>
    <xf numFmtId="164" fontId="2" fillId="35" borderId="0" xfId="0" applyFont="1" applyFill="1" applyAlignment="1">
      <alignment horizontal="left"/>
    </xf>
    <xf numFmtId="164" fontId="4" fillId="35" borderId="0" xfId="0" applyFont="1" applyFill="1" applyAlignment="1">
      <alignment horizontal="left"/>
    </xf>
    <xf numFmtId="164" fontId="2" fillId="35" borderId="0" xfId="0" applyFont="1" applyFill="1" applyAlignment="1">
      <alignment horizontal="center"/>
    </xf>
    <xf numFmtId="164" fontId="8" fillId="35" borderId="0" xfId="0" applyFont="1" applyFill="1" applyAlignment="1">
      <alignment horizontal="left"/>
    </xf>
    <xf numFmtId="164" fontId="2" fillId="27" borderId="0" xfId="0" applyFont="1" applyFill="1" applyAlignment="1">
      <alignment horizontal="left"/>
    </xf>
    <xf numFmtId="164" fontId="2" fillId="27" borderId="0" xfId="0" applyFont="1" applyFill="1" applyAlignment="1">
      <alignment horizontal="center"/>
    </xf>
    <xf numFmtId="164" fontId="2" fillId="12" borderId="0" xfId="0" applyFont="1" applyFill="1" applyAlignment="1">
      <alignment horizontal="left"/>
    </xf>
    <xf numFmtId="164" fontId="2" fillId="36" borderId="0" xfId="0" applyFont="1" applyFill="1" applyAlignment="1">
      <alignment horizontal="left"/>
    </xf>
    <xf numFmtId="164" fontId="4" fillId="36" borderId="0" xfId="0" applyFont="1" applyFill="1" applyAlignment="1">
      <alignment horizontal="left"/>
    </xf>
    <xf numFmtId="164" fontId="2" fillId="36" borderId="0" xfId="0" applyFont="1" applyFill="1" applyAlignment="1">
      <alignment horizontal="center"/>
    </xf>
    <xf numFmtId="164" fontId="44" fillId="36" borderId="0" xfId="0" applyFont="1" applyFill="1" applyAlignment="1">
      <alignment horizontal="left"/>
    </xf>
    <xf numFmtId="164" fontId="8" fillId="36" borderId="0" xfId="0" applyFont="1" applyFill="1" applyAlignment="1">
      <alignment horizontal="left"/>
    </xf>
    <xf numFmtId="164" fontId="8" fillId="36" borderId="0" xfId="0" applyFont="1" applyFill="1" applyAlignment="1">
      <alignment horizontal="center"/>
    </xf>
    <xf numFmtId="164" fontId="2" fillId="37" borderId="0" xfId="0" applyFont="1" applyFill="1" applyAlignment="1">
      <alignment horizontal="left"/>
    </xf>
    <xf numFmtId="164" fontId="4" fillId="37" borderId="0" xfId="0" applyFont="1" applyFill="1" applyAlignment="1">
      <alignment horizontal="left"/>
    </xf>
    <xf numFmtId="164" fontId="2" fillId="37" borderId="0" xfId="0" applyFont="1" applyFill="1" applyAlignment="1">
      <alignment horizontal="center"/>
    </xf>
    <xf numFmtId="164" fontId="8" fillId="37" borderId="0" xfId="0" applyFont="1" applyFill="1" applyAlignment="1">
      <alignment horizontal="left"/>
    </xf>
    <xf numFmtId="164" fontId="15" fillId="35" borderId="0" xfId="0" applyFont="1" applyFill="1" applyAlignment="1">
      <alignment horizontal="center"/>
    </xf>
    <xf numFmtId="164" fontId="44" fillId="35" borderId="0" xfId="0" applyFont="1" applyFill="1" applyAlignment="1">
      <alignment horizontal="left"/>
    </xf>
    <xf numFmtId="164" fontId="45" fillId="35" borderId="0" xfId="0" applyFont="1" applyFill="1" applyAlignment="1">
      <alignment horizontal="left"/>
    </xf>
    <xf numFmtId="164" fontId="44" fillId="31" borderId="0" xfId="0" applyFont="1" applyFill="1" applyAlignment="1">
      <alignment horizontal="left"/>
    </xf>
    <xf numFmtId="164" fontId="45" fillId="31" borderId="0" xfId="0" applyFont="1" applyFill="1" applyAlignment="1">
      <alignment horizontal="left"/>
    </xf>
    <xf numFmtId="164" fontId="2" fillId="38" borderId="0" xfId="0" applyFont="1" applyFill="1" applyAlignment="1">
      <alignment horizontal="left"/>
    </xf>
    <xf numFmtId="164" fontId="45" fillId="36" borderId="0" xfId="0" applyFont="1" applyFill="1" applyAlignment="1">
      <alignment horizontal="left"/>
    </xf>
    <xf numFmtId="164" fontId="2" fillId="39" borderId="0" xfId="0" applyFont="1" applyFill="1" applyAlignment="1">
      <alignment horizontal="left"/>
    </xf>
    <xf numFmtId="164" fontId="42" fillId="26" borderId="0" xfId="0" applyFont="1" applyFill="1" applyAlignment="1">
      <alignment horizontal="left"/>
    </xf>
    <xf numFmtId="164" fontId="2" fillId="32" borderId="0" xfId="0" applyFont="1" applyFill="1" applyAlignment="1">
      <alignment horizontal="left" wrapText="1"/>
    </xf>
    <xf numFmtId="164" fontId="45" fillId="32" borderId="0" xfId="0" applyFont="1" applyFill="1" applyAlignment="1">
      <alignment horizontal="left"/>
    </xf>
    <xf numFmtId="164" fontId="2" fillId="32" borderId="0" xfId="0" applyFont="1" applyFill="1" applyAlignment="1">
      <alignment horizontal="center" wrapText="1"/>
    </xf>
    <xf numFmtId="164" fontId="44" fillId="32" borderId="0" xfId="0" applyFont="1" applyFill="1" applyAlignment="1">
      <alignment horizontal="left"/>
    </xf>
    <xf numFmtId="164" fontId="44" fillId="37" borderId="0" xfId="0" applyFont="1" applyFill="1" applyAlignment="1">
      <alignment horizontal="left"/>
    </xf>
    <xf numFmtId="164" fontId="45" fillId="37" borderId="0" xfId="0" applyFont="1" applyFill="1" applyAlignment="1">
      <alignment horizontal="left"/>
    </xf>
    <xf numFmtId="164" fontId="2" fillId="22" borderId="0" xfId="0" applyFont="1" applyFill="1" applyAlignment="1">
      <alignment horizontal="left"/>
    </xf>
    <xf numFmtId="164" fontId="2" fillId="22" borderId="0" xfId="0" applyFont="1" applyFill="1" applyAlignment="1">
      <alignment horizontal="center"/>
    </xf>
    <xf numFmtId="164" fontId="15" fillId="33" borderId="0" xfId="0" applyFont="1" applyFill="1" applyAlignment="1">
      <alignment horizontal="center"/>
    </xf>
    <xf numFmtId="164" fontId="11" fillId="28" borderId="55" xfId="0" applyFont="1" applyFill="1" applyBorder="1" applyAlignment="1">
      <alignment horizontal="center" wrapText="1"/>
    </xf>
    <xf numFmtId="164" fontId="11" fillId="29" borderId="33" xfId="0" applyFont="1" applyFill="1" applyBorder="1" applyAlignment="1">
      <alignment horizontal="center" wrapText="1"/>
    </xf>
    <xf numFmtId="164" fontId="4" fillId="40" borderId="58" xfId="0" applyFont="1" applyFill="1" applyBorder="1" applyAlignment="1">
      <alignment horizontal="center" wrapText="1"/>
    </xf>
    <xf numFmtId="164" fontId="11" fillId="0" borderId="58" xfId="0" applyFont="1" applyBorder="1" applyAlignment="1">
      <alignment horizontal="center" wrapText="1"/>
    </xf>
    <xf numFmtId="164" fontId="4" fillId="0" borderId="33" xfId="0" applyFont="1" applyBorder="1" applyAlignment="1">
      <alignment horizontal="center" wrapText="1"/>
    </xf>
    <xf numFmtId="164" fontId="4" fillId="40" borderId="55" xfId="0" applyFont="1" applyFill="1" applyBorder="1" applyAlignment="1">
      <alignment horizontal="center" wrapText="1"/>
    </xf>
    <xf numFmtId="49" fontId="2" fillId="13" borderId="0" xfId="0" applyNumberFormat="1" applyFont="1" applyFill="1" applyAlignment="1" applyProtection="1">
      <alignment horizontal="center"/>
      <protection locked="0"/>
    </xf>
    <xf numFmtId="49" fontId="2" fillId="13" borderId="0" xfId="0" applyNumberFormat="1" applyFont="1" applyFill="1" applyAlignment="1" applyProtection="1">
      <alignment horizontal="left"/>
      <protection locked="0"/>
    </xf>
    <xf numFmtId="1" fontId="2" fillId="13" borderId="0" xfId="0" applyNumberFormat="1" applyFont="1" applyFill="1" applyAlignment="1" applyProtection="1">
      <alignment horizontal="center"/>
      <protection locked="0"/>
    </xf>
    <xf numFmtId="49" fontId="8" fillId="41" borderId="0" xfId="0" applyNumberFormat="1" applyFont="1" applyFill="1" applyAlignment="1" applyProtection="1">
      <alignment horizontal="left"/>
      <protection locked="0"/>
    </xf>
    <xf numFmtId="49" fontId="4" fillId="41" borderId="0" xfId="0" applyNumberFormat="1" applyFont="1" applyFill="1" applyAlignment="1" applyProtection="1">
      <alignment horizontal="left"/>
      <protection locked="0"/>
    </xf>
    <xf numFmtId="49" fontId="8" fillId="13" borderId="0" xfId="0" applyNumberFormat="1" applyFont="1" applyFill="1" applyAlignment="1" applyProtection="1">
      <alignment horizontal="left"/>
      <protection locked="0"/>
    </xf>
    <xf numFmtId="1" fontId="25" fillId="13" borderId="0" xfId="0" applyNumberFormat="1" applyFont="1" applyFill="1" applyAlignment="1" applyProtection="1">
      <alignment horizontal="center"/>
      <protection locked="0"/>
    </xf>
    <xf numFmtId="1" fontId="8" fillId="13" borderId="0" xfId="0" applyNumberFormat="1" applyFont="1" applyFill="1" applyAlignment="1" applyProtection="1">
      <alignment horizontal="left"/>
      <protection locked="0"/>
    </xf>
    <xf numFmtId="1" fontId="8" fillId="13" borderId="0" xfId="0" applyNumberFormat="1" applyFont="1" applyFill="1" applyAlignment="1" applyProtection="1">
      <alignment horizontal="center"/>
      <protection locked="0"/>
    </xf>
    <xf numFmtId="164" fontId="2" fillId="13" borderId="0" xfId="0" applyFont="1" applyFill="1" applyAlignment="1" applyProtection="1">
      <alignment horizontal="center"/>
      <protection locked="0"/>
    </xf>
    <xf numFmtId="49" fontId="2" fillId="41" borderId="0" xfId="0" applyNumberFormat="1" applyFont="1" applyFill="1" applyAlignment="1" applyProtection="1">
      <alignment horizontal="left"/>
      <protection locked="0"/>
    </xf>
    <xf numFmtId="3" fontId="4" fillId="13" borderId="0" xfId="0" applyNumberFormat="1" applyFont="1" applyFill="1" applyAlignment="1" applyProtection="1">
      <alignment horizontal="left"/>
      <protection locked="0"/>
    </xf>
    <xf numFmtId="3" fontId="2" fillId="13" borderId="0" xfId="0" applyNumberFormat="1" applyFont="1" applyFill="1" applyAlignment="1" applyProtection="1">
      <alignment horizontal="left"/>
      <protection locked="0"/>
    </xf>
    <xf numFmtId="37" fontId="2" fillId="13" borderId="0" xfId="0" applyNumberFormat="1" applyFont="1" applyFill="1" applyAlignment="1" applyProtection="1">
      <alignment horizontal="left"/>
      <protection locked="0"/>
    </xf>
    <xf numFmtId="3" fontId="2" fillId="41" borderId="0" xfId="0" applyNumberFormat="1" applyFont="1" applyFill="1" applyAlignment="1" applyProtection="1">
      <alignment horizontal="left"/>
      <protection locked="0"/>
    </xf>
    <xf numFmtId="164" fontId="2" fillId="30" borderId="5" xfId="0" applyFont="1" applyFill="1" applyBorder="1" applyAlignment="1">
      <alignment horizontal="center"/>
    </xf>
    <xf numFmtId="164" fontId="2" fillId="31" borderId="5" xfId="0" applyFont="1" applyFill="1" applyBorder="1" applyAlignment="1">
      <alignment horizontal="center"/>
    </xf>
    <xf numFmtId="164" fontId="2" fillId="33" borderId="5" xfId="0" applyFont="1" applyFill="1" applyBorder="1" applyAlignment="1">
      <alignment horizontal="center"/>
    </xf>
    <xf numFmtId="49" fontId="8" fillId="42" borderId="0" xfId="0" applyNumberFormat="1" applyFont="1" applyFill="1" applyAlignment="1" applyProtection="1">
      <alignment horizontal="left"/>
      <protection locked="0"/>
    </xf>
    <xf numFmtId="164" fontId="2" fillId="19" borderId="0" xfId="0" applyFont="1" applyFill="1" applyAlignment="1" applyProtection="1">
      <alignment horizontal="center"/>
      <protection locked="0"/>
    </xf>
    <xf numFmtId="1" fontId="8" fillId="43" borderId="0" xfId="0" applyNumberFormat="1" applyFont="1" applyFill="1" applyAlignment="1" applyProtection="1">
      <alignment horizontal="center"/>
      <protection locked="0"/>
    </xf>
    <xf numFmtId="164" fontId="4" fillId="33" borderId="0" xfId="0" applyFont="1" applyFill="1" applyAlignment="1">
      <alignment horizontal="center"/>
    </xf>
    <xf numFmtId="164" fontId="2" fillId="25" borderId="5" xfId="0" applyFont="1" applyFill="1" applyBorder="1" applyAlignment="1">
      <alignment horizontal="center"/>
    </xf>
    <xf numFmtId="164" fontId="2" fillId="35" borderId="5" xfId="0" applyFont="1" applyFill="1" applyBorder="1" applyAlignment="1">
      <alignment horizontal="center"/>
    </xf>
    <xf numFmtId="49" fontId="8" fillId="44" borderId="0" xfId="0" applyNumberFormat="1" applyFont="1" applyFill="1" applyAlignment="1" applyProtection="1">
      <alignment horizontal="left"/>
      <protection locked="0"/>
    </xf>
    <xf numFmtId="1" fontId="2" fillId="44" borderId="0" xfId="0" applyNumberFormat="1" applyFont="1" applyFill="1" applyAlignment="1" applyProtection="1">
      <alignment horizontal="center"/>
      <protection locked="0"/>
    </xf>
    <xf numFmtId="1" fontId="8" fillId="45" borderId="0" xfId="0" applyNumberFormat="1" applyFont="1" applyFill="1" applyAlignment="1" applyProtection="1">
      <alignment horizontal="center"/>
      <protection locked="0"/>
    </xf>
    <xf numFmtId="164" fontId="4" fillId="31" borderId="0" xfId="0" applyFont="1" applyFill="1" applyAlignment="1">
      <alignment horizontal="center"/>
    </xf>
    <xf numFmtId="164" fontId="2" fillId="36" borderId="5" xfId="0" applyFont="1" applyFill="1" applyBorder="1" applyAlignment="1">
      <alignment horizontal="center"/>
    </xf>
    <xf numFmtId="164" fontId="4" fillId="36" borderId="0" xfId="0" applyFont="1" applyFill="1" applyAlignment="1">
      <alignment horizontal="center"/>
    </xf>
    <xf numFmtId="164" fontId="2" fillId="37" borderId="5" xfId="0" applyFont="1" applyFill="1" applyBorder="1" applyAlignment="1">
      <alignment horizontal="center"/>
    </xf>
    <xf numFmtId="164" fontId="46" fillId="46" borderId="0" xfId="0" applyFont="1" applyFill="1" applyAlignment="1" applyProtection="1">
      <alignment horizontal="left"/>
      <protection locked="0"/>
    </xf>
    <xf numFmtId="1" fontId="2" fillId="16" borderId="0" xfId="0" applyNumberFormat="1" applyFont="1" applyFill="1" applyAlignment="1" applyProtection="1">
      <alignment horizontal="center"/>
      <protection locked="0"/>
    </xf>
    <xf numFmtId="1" fontId="8" fillId="46" borderId="0" xfId="0" applyNumberFormat="1" applyFont="1" applyFill="1" applyAlignment="1" applyProtection="1">
      <alignment horizontal="center"/>
      <protection locked="0"/>
    </xf>
    <xf numFmtId="164" fontId="47" fillId="31" borderId="0" xfId="0" applyFont="1" applyFill="1" applyAlignment="1">
      <alignment horizontal="left"/>
    </xf>
    <xf numFmtId="164" fontId="48" fillId="47" borderId="0" xfId="0" applyFont="1" applyFill="1" applyAlignment="1" applyProtection="1">
      <alignment horizontal="left"/>
      <protection locked="0"/>
    </xf>
    <xf numFmtId="1" fontId="17" fillId="17" borderId="0" xfId="0" applyNumberFormat="1" applyFont="1" applyFill="1" applyAlignment="1" applyProtection="1">
      <alignment horizontal="center"/>
      <protection locked="0"/>
    </xf>
    <xf numFmtId="164" fontId="47" fillId="36" borderId="0" xfId="0" applyFont="1" applyFill="1" applyAlignment="1">
      <alignment horizontal="left"/>
    </xf>
    <xf numFmtId="1" fontId="17" fillId="47" borderId="0" xfId="0" applyNumberFormat="1" applyFont="1" applyFill="1" applyAlignment="1" applyProtection="1">
      <alignment horizontal="center"/>
      <protection locked="0"/>
    </xf>
    <xf numFmtId="49" fontId="2" fillId="38" borderId="0" xfId="0" applyNumberFormat="1" applyFont="1" applyFill="1" applyAlignment="1" applyProtection="1">
      <alignment horizontal="left"/>
      <protection locked="0"/>
    </xf>
    <xf numFmtId="1" fontId="2" fillId="38" borderId="0" xfId="0" applyNumberFormat="1" applyFont="1" applyFill="1" applyAlignment="1" applyProtection="1">
      <alignment horizontal="center"/>
      <protection locked="0"/>
    </xf>
    <xf numFmtId="1" fontId="2" fillId="48" borderId="0" xfId="0" applyNumberFormat="1" applyFont="1" applyFill="1" applyAlignment="1" applyProtection="1">
      <alignment horizontal="center"/>
      <protection locked="0"/>
    </xf>
    <xf numFmtId="164" fontId="46" fillId="49" borderId="0" xfId="0" applyFont="1" applyFill="1" applyAlignment="1" applyProtection="1">
      <alignment horizontal="left"/>
      <protection locked="0"/>
    </xf>
    <xf numFmtId="1" fontId="2" fillId="18" borderId="0" xfId="0" applyNumberFormat="1" applyFont="1" applyFill="1" applyAlignment="1" applyProtection="1">
      <alignment horizontal="left" vertical="center"/>
      <protection locked="0"/>
    </xf>
    <xf numFmtId="1" fontId="8" fillId="18" borderId="0" xfId="0" applyNumberFormat="1" applyFont="1" applyFill="1" applyAlignment="1" applyProtection="1">
      <alignment horizontal="center"/>
      <protection locked="0"/>
    </xf>
    <xf numFmtId="164" fontId="2" fillId="32" borderId="0" xfId="0" applyFont="1" applyFill="1" applyAlignment="1">
      <alignment horizontal="left" vertical="center" wrapText="1"/>
    </xf>
    <xf numFmtId="164" fontId="15" fillId="33" borderId="5" xfId="0" applyFont="1" applyFill="1" applyBorder="1" applyAlignment="1">
      <alignment horizontal="center"/>
    </xf>
    <xf numFmtId="49" fontId="4" fillId="50" borderId="0" xfId="0" applyNumberFormat="1" applyFont="1" applyFill="1" applyAlignment="1" applyProtection="1">
      <alignment horizontal="left"/>
      <protection locked="0"/>
    </xf>
    <xf numFmtId="49" fontId="4" fillId="42" borderId="0" xfId="0" applyNumberFormat="1" applyFont="1" applyFill="1" applyAlignment="1" applyProtection="1">
      <alignment horizontal="left"/>
      <protection locked="0"/>
    </xf>
    <xf numFmtId="49" fontId="4" fillId="51" borderId="0" xfId="0" applyNumberFormat="1" applyFont="1" applyFill="1" applyAlignment="1" applyProtection="1">
      <alignment horizontal="left"/>
      <protection locked="0"/>
    </xf>
    <xf numFmtId="49" fontId="4" fillId="52" borderId="0" xfId="0" applyNumberFormat="1" applyFont="1" applyFill="1" applyAlignment="1" applyProtection="1">
      <alignment horizontal="left"/>
      <protection locked="0"/>
    </xf>
    <xf numFmtId="164" fontId="49" fillId="49" borderId="0" xfId="0" applyFont="1" applyFill="1" applyAlignment="1" applyProtection="1">
      <alignment horizontal="left"/>
      <protection locked="0"/>
    </xf>
    <xf numFmtId="164" fontId="4" fillId="16" borderId="0" xfId="0" applyFont="1" applyFill="1" applyAlignment="1" applyProtection="1">
      <alignment horizontal="left"/>
      <protection locked="0"/>
    </xf>
    <xf numFmtId="164" fontId="49" fillId="45" borderId="0" xfId="0" applyFont="1" applyFill="1" applyAlignment="1" applyProtection="1">
      <alignment horizontal="left"/>
      <protection locked="0"/>
    </xf>
    <xf numFmtId="164" fontId="49" fillId="47" borderId="0" xfId="0" applyFont="1" applyFill="1" applyAlignment="1" applyProtection="1">
      <alignment horizontal="left"/>
      <protection locked="0"/>
    </xf>
    <xf numFmtId="164" fontId="19" fillId="47" borderId="0" xfId="0" applyFont="1" applyFill="1" applyAlignment="1" applyProtection="1">
      <alignment horizontal="left"/>
      <protection locked="0"/>
    </xf>
    <xf numFmtId="49" fontId="4" fillId="17" borderId="0" xfId="0" applyNumberFormat="1" applyFont="1" applyFill="1" applyAlignment="1" applyProtection="1">
      <alignment horizontal="left"/>
      <protection locked="0"/>
    </xf>
    <xf numFmtId="38" fontId="9" fillId="5" borderId="58" xfId="0" applyNumberFormat="1" applyFont="1" applyFill="1" applyBorder="1" applyAlignment="1">
      <alignment horizontal="right"/>
    </xf>
    <xf numFmtId="38" fontId="9" fillId="6" borderId="58" xfId="0" applyNumberFormat="1" applyFont="1" applyFill="1" applyBorder="1" applyAlignment="1">
      <alignment horizontal="right"/>
    </xf>
    <xf numFmtId="37" fontId="2" fillId="11" borderId="58" xfId="0" applyNumberFormat="1" applyFont="1" applyFill="1" applyBorder="1" applyProtection="1">
      <protection locked="0"/>
    </xf>
    <xf numFmtId="37" fontId="2" fillId="12" borderId="58" xfId="0" applyNumberFormat="1" applyFont="1" applyFill="1" applyBorder="1" applyAlignment="1" applyProtection="1">
      <alignment horizontal="center" vertical="top"/>
      <protection locked="0"/>
    </xf>
    <xf numFmtId="49" fontId="2" fillId="53" borderId="0" xfId="0" applyNumberFormat="1" applyFont="1" applyFill="1" applyAlignment="1" applyProtection="1">
      <alignment horizontal="center"/>
      <protection locked="0"/>
    </xf>
    <xf numFmtId="49" fontId="2" fillId="53" borderId="0" xfId="0" applyNumberFormat="1" applyFont="1" applyFill="1" applyAlignment="1" applyProtection="1">
      <alignment horizontal="left"/>
      <protection locked="0"/>
    </xf>
    <xf numFmtId="49" fontId="4" fillId="54" borderId="0" xfId="0" applyNumberFormat="1" applyFont="1" applyFill="1" applyAlignment="1" applyProtection="1">
      <alignment horizontal="left"/>
      <protection locked="0"/>
    </xf>
    <xf numFmtId="1" fontId="2" fillId="53" borderId="0" xfId="0" applyNumberFormat="1" applyFont="1" applyFill="1" applyAlignment="1" applyProtection="1">
      <alignment horizontal="center"/>
      <protection locked="0"/>
    </xf>
    <xf numFmtId="164" fontId="2" fillId="53" borderId="0" xfId="0" applyFont="1" applyFill="1"/>
    <xf numFmtId="3" fontId="2" fillId="12" borderId="9" xfId="0" applyNumberFormat="1" applyFont="1" applyFill="1" applyBorder="1" applyProtection="1">
      <protection locked="0"/>
    </xf>
    <xf numFmtId="0" fontId="2" fillId="12" borderId="9" xfId="0" applyNumberFormat="1" applyFont="1" applyFill="1" applyBorder="1" applyProtection="1">
      <protection locked="0"/>
    </xf>
    <xf numFmtId="164" fontId="2" fillId="12" borderId="58" xfId="0" applyFont="1" applyFill="1" applyBorder="1" applyAlignment="1" applyProtection="1">
      <alignment horizontal="center" vertical="top"/>
      <protection locked="0"/>
    </xf>
    <xf numFmtId="165" fontId="2" fillId="12" borderId="58" xfId="0" applyNumberFormat="1" applyFont="1" applyFill="1" applyBorder="1" applyAlignment="1" applyProtection="1">
      <alignment horizontal="center" vertical="top"/>
      <protection locked="0"/>
    </xf>
    <xf numFmtId="165" fontId="2" fillId="12" borderId="4" xfId="0" applyNumberFormat="1" applyFont="1" applyFill="1" applyBorder="1" applyProtection="1">
      <protection locked="0"/>
    </xf>
    <xf numFmtId="164" fontId="0" fillId="12" borderId="0" xfId="0" applyFill="1" applyProtection="1">
      <protection locked="0"/>
    </xf>
    <xf numFmtId="37" fontId="42" fillId="26" borderId="58" xfId="0" applyNumberFormat="1" applyFont="1" applyFill="1" applyBorder="1" applyAlignment="1" applyProtection="1">
      <alignment horizontal="center" vertical="top"/>
      <protection locked="0"/>
    </xf>
    <xf numFmtId="164" fontId="50" fillId="55" borderId="0" xfId="0" applyFont="1" applyFill="1" applyProtection="1">
      <protection locked="0"/>
    </xf>
    <xf numFmtId="164" fontId="51" fillId="26" borderId="0" xfId="0" applyFont="1" applyFill="1" applyProtection="1">
      <protection locked="0"/>
    </xf>
    <xf numFmtId="37" fontId="52" fillId="55" borderId="58" xfId="0" applyNumberFormat="1" applyFont="1" applyFill="1" applyBorder="1" applyAlignment="1" applyProtection="1">
      <alignment horizontal="center" vertical="top"/>
      <protection locked="0"/>
    </xf>
    <xf numFmtId="37" fontId="24" fillId="0" borderId="0" xfId="8" applyNumberFormat="1" applyFont="1" applyAlignment="1">
      <alignment horizontal="center"/>
    </xf>
    <xf numFmtId="37" fontId="7" fillId="0" borderId="0" xfId="8" applyNumberFormat="1" applyFont="1" applyAlignment="1">
      <alignment horizontal="center"/>
    </xf>
    <xf numFmtId="0" fontId="26" fillId="0" borderId="54" xfId="8" applyFont="1" applyBorder="1" applyAlignment="1">
      <alignment horizontal="center"/>
    </xf>
    <xf numFmtId="0" fontId="26" fillId="0" borderId="53" xfId="8" applyFont="1" applyBorder="1" applyAlignment="1">
      <alignment horizontal="center"/>
    </xf>
    <xf numFmtId="0" fontId="26" fillId="0" borderId="23" xfId="8" applyFont="1" applyBorder="1" applyAlignment="1">
      <alignment horizontal="center"/>
    </xf>
    <xf numFmtId="0" fontId="31" fillId="0" borderId="22" xfId="8" applyFont="1" applyBorder="1" applyAlignment="1">
      <alignment horizontal="left" wrapText="1"/>
    </xf>
    <xf numFmtId="0" fontId="31" fillId="0" borderId="0" xfId="8" applyFont="1" applyAlignment="1">
      <alignment vertical="center" wrapText="1"/>
    </xf>
    <xf numFmtId="0" fontId="18" fillId="0" borderId="0" xfId="8" applyFont="1" applyAlignment="1">
      <alignment vertical="center" wrapText="1"/>
    </xf>
    <xf numFmtId="0" fontId="31" fillId="0" borderId="0" xfId="8" applyFont="1" applyAlignment="1">
      <alignment horizontal="left" wrapText="1"/>
    </xf>
    <xf numFmtId="0" fontId="31" fillId="0" borderId="0" xfId="8" applyFont="1" applyAlignment="1">
      <alignment vertical="top" wrapText="1"/>
    </xf>
    <xf numFmtId="0" fontId="18" fillId="0" borderId="0" xfId="8" applyFont="1" applyAlignment="1">
      <alignment vertical="top" wrapText="1"/>
    </xf>
    <xf numFmtId="0" fontId="31" fillId="0" borderId="0" xfId="8" applyFont="1" applyAlignment="1">
      <alignment horizontal="left" vertical="top" wrapText="1"/>
    </xf>
    <xf numFmtId="0" fontId="31" fillId="0" borderId="22" xfId="8" applyFont="1" applyBorder="1" applyAlignment="1">
      <alignment horizontal="left" vertical="top" wrapText="1"/>
    </xf>
    <xf numFmtId="0" fontId="4" fillId="0" borderId="54" xfId="8" applyFont="1" applyBorder="1" applyAlignment="1">
      <alignment horizontal="center"/>
    </xf>
    <xf numFmtId="0" fontId="4" fillId="0" borderId="53" xfId="8" applyFont="1" applyBorder="1" applyAlignment="1">
      <alignment horizontal="center"/>
    </xf>
    <xf numFmtId="0" fontId="4" fillId="0" borderId="23" xfId="8" applyFont="1" applyBorder="1" applyAlignment="1">
      <alignment horizontal="center"/>
    </xf>
    <xf numFmtId="37" fontId="39" fillId="0" borderId="0" xfId="8" applyNumberFormat="1" applyFont="1" applyAlignment="1">
      <alignment horizontal="center"/>
    </xf>
    <xf numFmtId="0" fontId="33" fillId="0" borderId="0" xfId="8" applyFont="1" applyAlignment="1">
      <alignment vertical="top" wrapText="1"/>
    </xf>
    <xf numFmtId="0" fontId="20" fillId="0" borderId="0" xfId="8" applyFont="1" applyAlignment="1">
      <alignment vertical="top" wrapText="1"/>
    </xf>
    <xf numFmtId="0" fontId="31" fillId="0" borderId="0" xfId="8" applyFont="1" applyAlignment="1">
      <alignment wrapText="1"/>
    </xf>
    <xf numFmtId="0" fontId="18" fillId="0" borderId="0" xfId="8" applyFont="1"/>
    <xf numFmtId="0" fontId="23" fillId="0" borderId="0" xfId="8" applyFont="1" applyAlignment="1">
      <alignment vertical="top" wrapText="1"/>
    </xf>
    <xf numFmtId="0" fontId="1" fillId="0" borderId="0" xfId="8" applyAlignment="1">
      <alignment vertical="top" wrapText="1"/>
    </xf>
    <xf numFmtId="164" fontId="4" fillId="0" borderId="52" xfId="0" applyFont="1" applyBorder="1" applyAlignment="1">
      <alignment horizontal="center" wrapText="1"/>
    </xf>
    <xf numFmtId="164" fontId="5" fillId="0" borderId="8" xfId="0" applyFont="1" applyBorder="1" applyAlignment="1">
      <alignment horizontal="center" wrapText="1"/>
    </xf>
    <xf numFmtId="164" fontId="53" fillId="33" borderId="0" xfId="0" applyFont="1" applyFill="1" applyAlignment="1">
      <alignment horizontal="center"/>
    </xf>
    <xf numFmtId="164" fontId="0" fillId="0" borderId="61" xfId="0" applyFont="1" applyFill="1" applyBorder="1"/>
    <xf numFmtId="164" fontId="0" fillId="0" borderId="62" xfId="0" applyFont="1" applyFill="1" applyBorder="1"/>
    <xf numFmtId="9" fontId="0" fillId="0" borderId="66" xfId="0" applyNumberFormat="1" applyFont="1" applyFill="1" applyBorder="1"/>
    <xf numFmtId="9" fontId="0" fillId="0" borderId="62" xfId="0" applyNumberFormat="1" applyFont="1" applyFill="1" applyBorder="1"/>
    <xf numFmtId="9" fontId="0" fillId="0" borderId="63" xfId="0" applyNumberFormat="1" applyFont="1" applyFill="1" applyBorder="1"/>
    <xf numFmtId="164" fontId="0" fillId="0" borderId="66" xfId="0" applyFont="1" applyFill="1" applyBorder="1"/>
    <xf numFmtId="164" fontId="0" fillId="0" borderId="64" xfId="0" applyFont="1" applyFill="1" applyBorder="1"/>
    <xf numFmtId="164" fontId="0" fillId="0" borderId="79" xfId="0" applyFont="1" applyFill="1" applyBorder="1"/>
    <xf numFmtId="164" fontId="0" fillId="0" borderId="80" xfId="0" applyFont="1" applyFill="1" applyBorder="1"/>
    <xf numFmtId="164" fontId="0" fillId="0" borderId="65" xfId="0" applyFont="1" applyFill="1" applyBorder="1"/>
    <xf numFmtId="164" fontId="0" fillId="0" borderId="67" xfId="0" applyFont="1" applyFill="1" applyBorder="1"/>
    <xf numFmtId="3" fontId="0" fillId="0" borderId="61" xfId="0" applyNumberFormat="1" applyFont="1" applyFill="1" applyBorder="1"/>
    <xf numFmtId="3" fontId="0" fillId="0" borderId="66" xfId="0" applyNumberFormat="1" applyFont="1" applyFill="1" applyBorder="1"/>
    <xf numFmtId="3" fontId="0" fillId="0" borderId="65" xfId="0" applyNumberFormat="1" applyFont="1" applyFill="1" applyBorder="1"/>
    <xf numFmtId="3" fontId="0" fillId="0" borderId="68" xfId="0" applyNumberFormat="1" applyFont="1" applyFill="1" applyBorder="1"/>
    <xf numFmtId="3" fontId="0" fillId="0" borderId="0" xfId="0" applyNumberFormat="1" applyFont="1" applyFill="1" applyBorder="1"/>
    <xf numFmtId="3" fontId="0" fillId="0" borderId="69" xfId="0" applyNumberFormat="1" applyFont="1" applyFill="1" applyBorder="1"/>
    <xf numFmtId="3" fontId="0" fillId="0" borderId="73" xfId="0" applyNumberFormat="1" applyFont="1" applyFill="1" applyBorder="1"/>
    <xf numFmtId="3" fontId="0" fillId="0" borderId="50" xfId="0" applyNumberFormat="1" applyFont="1" applyFill="1" applyBorder="1"/>
    <xf numFmtId="3" fontId="0" fillId="0" borderId="74" xfId="0" applyNumberFormat="1" applyFont="1" applyFill="1" applyBorder="1"/>
    <xf numFmtId="3" fontId="0" fillId="0" borderId="70" xfId="0" applyNumberFormat="1" applyFont="1" applyFill="1" applyBorder="1"/>
    <xf numFmtId="3" fontId="0" fillId="0" borderId="71" xfId="0" applyNumberFormat="1" applyFont="1" applyFill="1" applyBorder="1"/>
    <xf numFmtId="3" fontId="0" fillId="0" borderId="72" xfId="0" applyNumberFormat="1" applyFont="1" applyFill="1" applyBorder="1"/>
    <xf numFmtId="3" fontId="0" fillId="0" borderId="45" xfId="0" applyNumberFormat="1" applyFont="1" applyFill="1" applyBorder="1"/>
    <xf numFmtId="3" fontId="0" fillId="0" borderId="78" xfId="0" applyNumberFormat="1" applyFont="1" applyFill="1" applyBorder="1"/>
    <xf numFmtId="3" fontId="0" fillId="0" borderId="75" xfId="0" applyNumberFormat="1" applyFont="1" applyFill="1" applyBorder="1"/>
    <xf numFmtId="3" fontId="0" fillId="0" borderId="76" xfId="0" applyNumberFormat="1" applyFont="1" applyFill="1" applyBorder="1"/>
    <xf numFmtId="164" fontId="0" fillId="0" borderId="77" xfId="0" applyFont="1" applyFill="1" applyBorder="1"/>
  </cellXfs>
  <cellStyles count="13">
    <cellStyle name="40% - Accent3 2" xfId="12" xr:uid="{3DA2A2B2-C52F-4AD1-9610-7AB73F4D7A98}"/>
    <cellStyle name="CalcNumNew" xfId="7" xr:uid="{00000000-0005-0000-0000-000000000000}"/>
    <cellStyle name="CalcNumOld" xfId="6" xr:uid="{00000000-0005-0000-0000-000001000000}"/>
    <cellStyle name="CalcPctNew" xfId="5" xr:uid="{00000000-0005-0000-0000-000002000000}"/>
    <cellStyle name="CalcPctOld" xfId="4" xr:uid="{00000000-0005-0000-0000-000003000000}"/>
    <cellStyle name="Comma 2" xfId="9" xr:uid="{7431BC62-2B01-4A1A-A85F-FFAA03AC9E0C}"/>
    <cellStyle name="Comma 3" xfId="10" xr:uid="{407C071B-BF1A-486B-AA0A-7F006C4A82DC}"/>
    <cellStyle name="DataNew" xfId="3" xr:uid="{00000000-0005-0000-0000-000004000000}"/>
    <cellStyle name="DataOld" xfId="2" xr:uid="{00000000-0005-0000-0000-000005000000}"/>
    <cellStyle name="DataOldLock" xfId="1" xr:uid="{00000000-0005-0000-0000-000006000000}"/>
    <cellStyle name="Normal" xfId="0" builtinId="0" customBuiltin="1"/>
    <cellStyle name="Normal 2" xfId="8" xr:uid="{DF6CD6A7-3813-4293-86D7-486BC52BD0B5}"/>
    <cellStyle name="Percent 2" xfId="11" xr:uid="{4033D3BC-3192-45AD-B4E2-C8F41A3C9F04}"/>
  </cellStyles>
  <dxfs count="3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ndense val="0"/>
        <extend val="0"/>
        <color indexed="10"/>
      </font>
    </dxf>
    <dxf>
      <font>
        <condense val="0"/>
        <extend val="0"/>
        <color indexed="10"/>
      </font>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medium">
          <color indexed="8"/>
        </bottom>
      </border>
    </dxf>
    <dxf>
      <border>
        <bottom style="medium">
          <color indexed="8"/>
        </bottom>
      </border>
    </dxf>
    <dxf>
      <border>
        <bottom style="medium">
          <color indexed="8"/>
        </bottom>
      </border>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Aycock" refreshedDate="45013.39611736111" createdVersion="8" refreshedVersion="8" minRefreshableVersion="3" recordCount="593" xr:uid="{96BAB3D9-DE13-4BDE-90B5-926D332B9914}">
  <cacheSource type="worksheet">
    <worksheetSource ref="A6:AG599" sheet="05InstructionTypes"/>
  </cacheSource>
  <cacheFields count="74">
    <cacheField name="State" numFmtId="0">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870501"/>
    </cacheField>
    <cacheField name="type" numFmtId="0">
      <sharedItems containsString="0" containsBlank="1" containsNumber="1" containsInteger="1" minValue="1" maxValue="99" count="17">
        <n v="1"/>
        <n v="2"/>
        <n v="3"/>
        <n v="4"/>
        <n v="5"/>
        <n v="6"/>
        <n v="8"/>
        <n v="9"/>
        <n v="10"/>
        <n v="12"/>
        <n v="13"/>
        <n v="15"/>
        <m/>
        <n v="7"/>
        <n v="14"/>
        <n v="99" u="1"/>
        <n v="16" u="1"/>
      </sharedItems>
      <fieldGroup par="70"/>
    </cacheField>
    <cacheField name="OLD-Tot UG SCH Calc" numFmtId="38">
      <sharedItems containsSemiMixedTypes="0" containsString="0" containsNumber="1" minValue="0" maxValue="1325305"/>
    </cacheField>
    <cacheField name="NEW-Tot UG SCH Calc" numFmtId="38">
      <sharedItems containsSemiMixedTypes="0" containsString="0" containsNumber="1" minValue="0" maxValue="1412275"/>
    </cacheField>
    <cacheField name="Old-UG OnC Trad" numFmtId="37">
      <sharedItems containsString="0" containsBlank="1" containsNumber="1" minValue="0" maxValue="1148586"/>
    </cacheField>
    <cacheField name="New-UG OnC Trad" numFmtId="0">
      <sharedItems containsString="0" containsBlank="1" containsNumber="1" minValue="0" maxValue="823823"/>
    </cacheField>
    <cacheField name="Old-UG OffC Trad" numFmtId="37">
      <sharedItems containsString="0" containsBlank="1" containsNumber="1" minValue="0" maxValue="185023"/>
    </cacheField>
    <cacheField name="New-UG OffC Trad" numFmtId="0">
      <sharedItems containsString="0" containsBlank="1" containsNumber="1" minValue="0" maxValue="108807"/>
    </cacheField>
    <cacheField name="Old-UG EL Web" numFmtId="37">
      <sharedItems containsString="0" containsBlank="1" containsNumber="1" minValue="0" maxValue="775584"/>
    </cacheField>
    <cacheField name="Old-UG EL CV" numFmtId="37">
      <sharedItems containsBlank="1" containsMixedTypes="1" containsNumber="1" containsInteger="1" minValue="0" maxValue="18770"/>
    </cacheField>
    <cacheField name="Old-UG EL O" numFmtId="37">
      <sharedItems containsString="0" containsBlank="1" containsNumber="1" containsInteger="1" minValue="0" maxValue="61836"/>
    </cacheField>
    <cacheField name="New-UG EL Web" numFmtId="0">
      <sharedItems containsString="0" containsBlank="1" containsNumber="1" minValue="0" maxValue="839034"/>
    </cacheField>
    <cacheField name="New-UG EL CV" numFmtId="0">
      <sharedItems containsString="0" containsBlank="1" containsNumber="1" minValue="0" maxValue="227752"/>
    </cacheField>
    <cacheField name="New-UG EL O" numFmtId="0">
      <sharedItems containsString="0" containsBlank="1" containsNumber="1" containsInteger="1" minValue="0" maxValue="70348"/>
    </cacheField>
    <cacheField name="Old-UG Cor" numFmtId="37">
      <sharedItems containsString="0" containsBlank="1" containsNumber="1" containsInteger="1" minValue="0" maxValue="5230"/>
    </cacheField>
    <cacheField name="New-UG Cor" numFmtId="0">
      <sharedItems containsString="0" containsBlank="1" containsNumber="1" containsInteger="1" minValue="0" maxValue="4350"/>
    </cacheField>
    <cacheField name="Old-Tot G SCH Calc" numFmtId="38">
      <sharedItems containsSemiMixedTypes="0" containsString="0" containsNumber="1" minValue="0" maxValue="375905.5"/>
    </cacheField>
    <cacheField name="New-Tot G SCH Calc" numFmtId="38">
      <sharedItems containsSemiMixedTypes="0" containsString="0" containsNumber="1" minValue="0" maxValue="402738.5"/>
    </cacheField>
    <cacheField name="Old-G OnC Trad" numFmtId="37">
      <sharedItems containsString="0" containsBlank="1" containsNumber="1" minValue="0" maxValue="248047.5"/>
    </cacheField>
    <cacheField name="New-G OnC Trad" numFmtId="0">
      <sharedItems containsString="0" containsBlank="1" containsNumber="1" minValue="0" maxValue="190625.5"/>
    </cacheField>
    <cacheField name="Old-G OffC Trad" numFmtId="37">
      <sharedItems containsString="0" containsBlank="1" containsNumber="1" minValue="0" maxValue="87822.5"/>
    </cacheField>
    <cacheField name="New-G OffC Trad" numFmtId="0">
      <sharedItems containsString="0" containsBlank="1" containsNumber="1" minValue="0" maxValue="52370.5"/>
    </cacheField>
    <cacheField name="Old-G EL Web" numFmtId="37">
      <sharedItems containsString="0" containsBlank="1" containsNumber="1" minValue="0" maxValue="189549"/>
    </cacheField>
    <cacheField name="Old-G EL CV" numFmtId="37">
      <sharedItems containsString="0" containsBlank="1" containsNumber="1" minValue="0" maxValue="10566"/>
    </cacheField>
    <cacheField name="Old-G EL O" numFmtId="37">
      <sharedItems containsString="0" containsBlank="1" containsNumber="1" containsInteger="1" minValue="0" maxValue="2975"/>
    </cacheField>
    <cacheField name="New-G EL Web" numFmtId="0">
      <sharedItems containsString="0" containsBlank="1" containsNumber="1" minValue="0" maxValue="243333.5"/>
    </cacheField>
    <cacheField name="New-G EL CV" numFmtId="0">
      <sharedItems containsString="0" containsBlank="1" containsNumber="1" minValue="0" maxValue="46571"/>
    </cacheField>
    <cacheField name="New-G EL O" numFmtId="0">
      <sharedItems containsString="0" containsBlank="1" containsNumber="1" containsInteger="1" minValue="0" maxValue="12536"/>
    </cacheField>
    <cacheField name="Old-G Cor" numFmtId="37">
      <sharedItems containsString="0" containsBlank="1" containsNumber="1" containsInteger="1" minValue="0" maxValue="3101"/>
    </cacheField>
    <cacheField name="New-G Cor" numFmtId="37">
      <sharedItems containsString="0" containsBlank="1" containsNumber="1" containsInteger="1" minValue="0" maxValue="2899"/>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3"/>
          <x v="4"/>
          <x v="4"/>
          <x v="4"/>
          <x v="5"/>
          <x v="5"/>
          <x v="3"/>
          <x v="6"/>
          <x v="4"/>
          <x v="1"/>
          <x v="0"/>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3">
  <r>
    <x v="0"/>
    <s v="Auburn University"/>
    <m/>
    <n v="100858"/>
    <x v="0"/>
    <n v="733944"/>
    <n v="739203"/>
    <n v="666491"/>
    <n v="648751"/>
    <m/>
    <m/>
    <n v="67453"/>
    <m/>
    <m/>
    <n v="90452"/>
    <m/>
    <m/>
    <m/>
    <m/>
    <n v="109527"/>
    <n v="113362"/>
    <n v="84611"/>
    <n v="84915"/>
    <n v="2883"/>
    <n v="2562"/>
    <n v="22033"/>
    <m/>
    <m/>
    <n v="25885"/>
    <m/>
    <m/>
    <m/>
    <m/>
  </r>
  <r>
    <x v="0"/>
    <s v="University of Alabama "/>
    <m/>
    <n v="100751"/>
    <x v="0"/>
    <n v="920491"/>
    <n v="888610"/>
    <n v="778527"/>
    <n v="544088"/>
    <n v="23251"/>
    <n v="15638"/>
    <n v="117238"/>
    <n v="1475"/>
    <m/>
    <n v="219966"/>
    <n v="108918"/>
    <m/>
    <m/>
    <m/>
    <n v="99694"/>
    <n v="104483"/>
    <n v="66672"/>
    <n v="58333"/>
    <n v="10499"/>
    <n v="8735"/>
    <n v="22106"/>
    <n v="417"/>
    <m/>
    <n v="30844"/>
    <n v="6571"/>
    <m/>
    <m/>
    <m/>
  </r>
  <r>
    <x v="0"/>
    <s v="University of Alabama at Birmingham"/>
    <m/>
    <n v="100663"/>
    <x v="0"/>
    <n v="319006"/>
    <n v="321593"/>
    <n v="212012"/>
    <n v="203878"/>
    <n v="48"/>
    <n v="83"/>
    <n v="106946"/>
    <m/>
    <m/>
    <n v="117620"/>
    <n v="12"/>
    <m/>
    <m/>
    <m/>
    <n v="56545"/>
    <n v="55924"/>
    <n v="31631"/>
    <n v="28200"/>
    <m/>
    <m/>
    <n v="24866"/>
    <n v="48"/>
    <m/>
    <n v="27697"/>
    <n v="27"/>
    <m/>
    <m/>
    <m/>
  </r>
  <r>
    <x v="0"/>
    <s v="University of Alabama in Huntsville"/>
    <s v="Met the criteria for Four-Year 3 in 2018-19 and 2019-20."/>
    <n v="100706"/>
    <x v="1"/>
    <n v="216491"/>
    <n v="220554"/>
    <n v="190806"/>
    <n v="116460"/>
    <m/>
    <m/>
    <n v="25685"/>
    <m/>
    <m/>
    <n v="104094"/>
    <m/>
    <m/>
    <m/>
    <m/>
    <n v="31260"/>
    <n v="30156"/>
    <n v="20522"/>
    <n v="13992"/>
    <m/>
    <m/>
    <n v="10738"/>
    <m/>
    <m/>
    <n v="16164"/>
    <m/>
    <m/>
    <m/>
    <m/>
  </r>
  <r>
    <x v="0"/>
    <s v="University of South Alabama"/>
    <m/>
    <n v="102094"/>
    <x v="1"/>
    <n v="248309"/>
    <n v="231181"/>
    <n v="205654"/>
    <n v="182430"/>
    <n v="434"/>
    <n v="246"/>
    <n v="42221"/>
    <m/>
    <m/>
    <n v="48505"/>
    <m/>
    <m/>
    <m/>
    <m/>
    <n v="17354"/>
    <n v="19964"/>
    <n v="12177"/>
    <n v="12602"/>
    <m/>
    <m/>
    <n v="5177"/>
    <m/>
    <m/>
    <n v="7362"/>
    <m/>
    <m/>
    <m/>
    <m/>
  </r>
  <r>
    <x v="0"/>
    <s v="Alabama Agricultural &amp; Mechanical University"/>
    <m/>
    <n v="100654"/>
    <x v="2"/>
    <n v="164444"/>
    <n v="150414"/>
    <n v="149416"/>
    <n v="88756"/>
    <n v="230"/>
    <n v="89"/>
    <n v="14798"/>
    <m/>
    <m/>
    <n v="61569"/>
    <m/>
    <m/>
    <m/>
    <m/>
    <n v="19389"/>
    <n v="17926"/>
    <n v="15646"/>
    <n v="6967"/>
    <n v="885"/>
    <n v="1393"/>
    <n v="2858"/>
    <m/>
    <m/>
    <n v="9566"/>
    <m/>
    <m/>
    <m/>
    <m/>
  </r>
  <r>
    <x v="0"/>
    <s v="Jacksonville State University "/>
    <m/>
    <n v="101480"/>
    <x v="2"/>
    <n v="198998"/>
    <n v="205277"/>
    <n v="135581"/>
    <n v="62503"/>
    <n v="2456"/>
    <n v="2397"/>
    <n v="60949"/>
    <n v="12"/>
    <m/>
    <n v="140377"/>
    <m/>
    <m/>
    <m/>
    <m/>
    <n v="20208"/>
    <n v="24869"/>
    <n v="6709"/>
    <n v="1821"/>
    <m/>
    <n v="0"/>
    <n v="13499"/>
    <m/>
    <m/>
    <n v="23048"/>
    <m/>
    <m/>
    <m/>
    <m/>
  </r>
  <r>
    <x v="0"/>
    <s v="Troy University"/>
    <m/>
    <n v="102368"/>
    <x v="2"/>
    <n v="288654"/>
    <n v="313997"/>
    <n v="186423"/>
    <n v="156059"/>
    <n v="0"/>
    <n v="2"/>
    <n v="93437"/>
    <n v="8794"/>
    <m/>
    <n v="149098"/>
    <n v="0"/>
    <n v="8838"/>
    <m/>
    <n v="0"/>
    <n v="37811"/>
    <n v="53405"/>
    <n v="13317"/>
    <n v="11016"/>
    <m/>
    <n v="0"/>
    <n v="22784"/>
    <m/>
    <n v="1710"/>
    <n v="41300"/>
    <n v="0"/>
    <n v="1089"/>
    <m/>
    <n v="0"/>
  </r>
  <r>
    <x v="0"/>
    <s v="University of North Alabama"/>
    <m/>
    <n v="101879"/>
    <x v="2"/>
    <n v="162108"/>
    <n v="160804"/>
    <n v="114377"/>
    <n v="98108"/>
    <m/>
    <m/>
    <n v="47731"/>
    <m/>
    <m/>
    <n v="62696"/>
    <m/>
    <m/>
    <m/>
    <m/>
    <n v="23044"/>
    <n v="30344"/>
    <n v="3699"/>
    <n v="3118"/>
    <m/>
    <m/>
    <n v="19345"/>
    <m/>
    <m/>
    <n v="27226"/>
    <m/>
    <m/>
    <m/>
    <m/>
  </r>
  <r>
    <x v="0"/>
    <s v="Alabama State University "/>
    <m/>
    <n v="100724"/>
    <x v="3"/>
    <n v="112278"/>
    <n v="109486"/>
    <n v="93348"/>
    <n v="53196"/>
    <m/>
    <m/>
    <n v="18930"/>
    <m/>
    <m/>
    <n v="56290"/>
    <m/>
    <m/>
    <m/>
    <m/>
    <n v="12035"/>
    <n v="12084"/>
    <n v="9993"/>
    <n v="6031"/>
    <m/>
    <m/>
    <n v="2042"/>
    <m/>
    <m/>
    <n v="6053"/>
    <m/>
    <m/>
    <m/>
    <m/>
  </r>
  <r>
    <x v="0"/>
    <s v="Auburn University at Montgomery"/>
    <s v="Reclassified: Met the criteria for Four-Year 3 in 2018-19  2019-20, and 2020-21"/>
    <n v="100830"/>
    <x v="2"/>
    <n v="117670"/>
    <n v="114790"/>
    <n v="88208"/>
    <n v="78377"/>
    <n v="749"/>
    <n v="312"/>
    <n v="28713"/>
    <m/>
    <m/>
    <n v="36101"/>
    <m/>
    <m/>
    <m/>
    <m/>
    <n v="10996"/>
    <n v="13696"/>
    <n v="4928"/>
    <n v="4822"/>
    <n v="87"/>
    <n v="0"/>
    <n v="5981"/>
    <m/>
    <m/>
    <n v="8874"/>
    <m/>
    <m/>
    <m/>
    <m/>
  </r>
  <r>
    <x v="0"/>
    <s v="University of Montevallo"/>
    <m/>
    <n v="101709"/>
    <x v="4"/>
    <n v="61935"/>
    <n v="62260"/>
    <n v="55743"/>
    <n v="42965"/>
    <n v="0"/>
    <n v="6"/>
    <n v="6192"/>
    <m/>
    <m/>
    <n v="19289"/>
    <m/>
    <m/>
    <m/>
    <m/>
    <n v="5966"/>
    <n v="6659"/>
    <n v="4119"/>
    <n v="3873"/>
    <n v="628"/>
    <n v="0"/>
    <n v="1219"/>
    <m/>
    <m/>
    <n v="2786"/>
    <m/>
    <m/>
    <m/>
    <m/>
  </r>
  <r>
    <x v="0"/>
    <s v="University of West Alabama"/>
    <s v="Reclassified: Met the criteria for Four-Year 4 in 2018-19, 2019-20, and 2020-21."/>
    <n v="101587"/>
    <x v="3"/>
    <n v="63456"/>
    <n v="63964"/>
    <n v="41663"/>
    <n v="34485"/>
    <n v="243"/>
    <n v="210"/>
    <n v="21550"/>
    <m/>
    <m/>
    <n v="29269"/>
    <m/>
    <m/>
    <m/>
    <m/>
    <n v="65170"/>
    <n v="68129"/>
    <n v="935"/>
    <n v="722"/>
    <m/>
    <m/>
    <n v="64235"/>
    <m/>
    <m/>
    <n v="67407"/>
    <m/>
    <m/>
    <m/>
    <m/>
  </r>
  <r>
    <x v="0"/>
    <s v="Athens State University"/>
    <s v="Met the criteria for Four-Year 5 in 2019-20 and 2020-21."/>
    <n v="100812"/>
    <x v="5"/>
    <n v="64093"/>
    <n v="65049"/>
    <n v="9799"/>
    <n v="7390"/>
    <n v="1717"/>
    <n v="1051"/>
    <n v="52577"/>
    <m/>
    <m/>
    <n v="56608"/>
    <m/>
    <m/>
    <m/>
    <m/>
    <n v="2415"/>
    <n v="2982"/>
    <n v="15"/>
    <n v="63"/>
    <m/>
    <m/>
    <n v="2400"/>
    <m/>
    <m/>
    <n v="2919"/>
    <m/>
    <m/>
    <m/>
    <m/>
  </r>
  <r>
    <x v="0"/>
    <s v="Jefferson State Community College"/>
    <m/>
    <n v="101505"/>
    <x v="6"/>
    <n v="166336"/>
    <n v="161295"/>
    <n v="94587"/>
    <n v="54889"/>
    <n v="12109"/>
    <m/>
    <n v="57920"/>
    <n v="1094"/>
    <n v="626"/>
    <n v="105724"/>
    <m/>
    <n v="682"/>
    <m/>
    <m/>
    <n v="0"/>
    <n v="0"/>
    <m/>
    <m/>
    <m/>
    <m/>
    <m/>
    <m/>
    <m/>
    <m/>
    <m/>
    <m/>
    <m/>
    <m/>
  </r>
  <r>
    <x v="0"/>
    <s v="John C. Calhoun Community College "/>
    <m/>
    <n v="101514"/>
    <x v="6"/>
    <n v="194864"/>
    <n v="176934"/>
    <n v="124273"/>
    <n v="79956"/>
    <m/>
    <m/>
    <n v="70591"/>
    <m/>
    <m/>
    <n v="96978"/>
    <m/>
    <m/>
    <m/>
    <m/>
    <n v="0"/>
    <n v="0"/>
    <m/>
    <m/>
    <m/>
    <m/>
    <m/>
    <m/>
    <m/>
    <m/>
    <m/>
    <m/>
    <m/>
    <m/>
  </r>
  <r>
    <x v="0"/>
    <s v="Bevill State Community College"/>
    <s v="Met the criteria for Two-Year 3 in 2020-21."/>
    <n v="102429"/>
    <x v="7"/>
    <n v="80435"/>
    <n v="70747"/>
    <n v="49485"/>
    <n v="33898"/>
    <n v="5185"/>
    <n v="2868"/>
    <n v="22659"/>
    <n v="3106"/>
    <m/>
    <n v="31891"/>
    <n v="2090"/>
    <m/>
    <m/>
    <m/>
    <n v="0"/>
    <n v="0"/>
    <m/>
    <m/>
    <m/>
    <m/>
    <m/>
    <m/>
    <m/>
    <m/>
    <m/>
    <m/>
    <m/>
    <m/>
  </r>
  <r>
    <x v="0"/>
    <s v="Bishop State Community College"/>
    <m/>
    <n v="102030"/>
    <x v="7"/>
    <n v="65158"/>
    <n v="54962"/>
    <n v="51733"/>
    <n v="30222"/>
    <n v="177"/>
    <n v="30"/>
    <n v="4938"/>
    <m/>
    <n v="8310"/>
    <n v="20271"/>
    <m/>
    <n v="4439"/>
    <m/>
    <m/>
    <n v="0"/>
    <n v="0"/>
    <m/>
    <m/>
    <m/>
    <m/>
    <m/>
    <m/>
    <m/>
    <m/>
    <m/>
    <m/>
    <m/>
    <m/>
  </r>
  <r>
    <x v="0"/>
    <s v="Coastal Alabama Community College"/>
    <s v="Reclassified: Met the criteria for Two-Year 1 in 2018-19, 2019-20, and 2020-21."/>
    <n v="101161"/>
    <x v="6"/>
    <n v="168831"/>
    <n v="155707"/>
    <n v="56990"/>
    <n v="62239"/>
    <n v="52723"/>
    <n v="20558"/>
    <n v="58869"/>
    <n v="249"/>
    <m/>
    <n v="72910"/>
    <m/>
    <m/>
    <m/>
    <m/>
    <n v="0"/>
    <n v="0"/>
    <m/>
    <m/>
    <m/>
    <m/>
    <m/>
    <m/>
    <m/>
    <m/>
    <m/>
    <m/>
    <m/>
    <m/>
  </r>
  <r>
    <x v="0"/>
    <s v="Gadsden State Community College"/>
    <m/>
    <n v="101240"/>
    <x v="7"/>
    <n v="109083"/>
    <n v="97135"/>
    <n v="75226"/>
    <n v="52282"/>
    <m/>
    <m/>
    <n v="33857"/>
    <m/>
    <m/>
    <n v="44853"/>
    <m/>
    <m/>
    <m/>
    <m/>
    <n v="0"/>
    <n v="0"/>
    <m/>
    <m/>
    <m/>
    <m/>
    <m/>
    <m/>
    <m/>
    <m/>
    <m/>
    <m/>
    <m/>
    <m/>
  </r>
  <r>
    <x v="0"/>
    <s v="George C. Wallace Community College-Dothan"/>
    <m/>
    <n v="101286"/>
    <x v="7"/>
    <n v="96830"/>
    <n v="86139"/>
    <n v="64129"/>
    <n v="48117"/>
    <n v="6557"/>
    <n v="3045"/>
    <n v="26144"/>
    <m/>
    <m/>
    <n v="34977"/>
    <m/>
    <m/>
    <m/>
    <m/>
    <n v="0"/>
    <n v="0"/>
    <m/>
    <m/>
    <m/>
    <m/>
    <m/>
    <m/>
    <m/>
    <m/>
    <m/>
    <m/>
    <m/>
    <m/>
  </r>
  <r>
    <x v="0"/>
    <s v="George C. Wallace State Community College-Hanceville"/>
    <m/>
    <n v="101295"/>
    <x v="7"/>
    <n v="124962"/>
    <n v="119234"/>
    <n v="88992"/>
    <n v="80964"/>
    <m/>
    <m/>
    <n v="35970"/>
    <m/>
    <m/>
    <n v="38270"/>
    <m/>
    <m/>
    <m/>
    <m/>
    <n v="0"/>
    <n v="0"/>
    <m/>
    <m/>
    <m/>
    <m/>
    <m/>
    <m/>
    <m/>
    <m/>
    <m/>
    <m/>
    <m/>
    <m/>
  </r>
  <r>
    <x v="0"/>
    <s v="Lawson State Community College "/>
    <m/>
    <n v="101569"/>
    <x v="7"/>
    <n v="76316"/>
    <n v="68517"/>
    <n v="63768"/>
    <n v="30307"/>
    <n v="1280"/>
    <n v="740"/>
    <n v="11268"/>
    <m/>
    <m/>
    <n v="37470"/>
    <m/>
    <m/>
    <m/>
    <m/>
    <n v="0"/>
    <n v="0"/>
    <m/>
    <m/>
    <m/>
    <m/>
    <m/>
    <m/>
    <m/>
    <m/>
    <m/>
    <m/>
    <m/>
    <m/>
  </r>
  <r>
    <x v="0"/>
    <s v="Northwest-Shoals Community College"/>
    <m/>
    <n v="101736"/>
    <x v="7"/>
    <n v="66363"/>
    <n v="62327"/>
    <n v="50394"/>
    <n v="45059"/>
    <n v="21"/>
    <m/>
    <n v="15809"/>
    <n v="139"/>
    <m/>
    <n v="17268"/>
    <m/>
    <m/>
    <m/>
    <m/>
    <n v="0"/>
    <n v="0"/>
    <m/>
    <m/>
    <m/>
    <m/>
    <m/>
    <m/>
    <m/>
    <m/>
    <m/>
    <m/>
    <m/>
    <m/>
  </r>
  <r>
    <x v="0"/>
    <s v="Shelton State Community College"/>
    <m/>
    <n v="102067"/>
    <x v="7"/>
    <n v="102213"/>
    <n v="91902"/>
    <n v="75398"/>
    <n v="41063"/>
    <m/>
    <m/>
    <n v="26815"/>
    <m/>
    <m/>
    <n v="50839"/>
    <m/>
    <m/>
    <m/>
    <m/>
    <n v="0"/>
    <n v="0"/>
    <m/>
    <m/>
    <m/>
    <m/>
    <m/>
    <m/>
    <m/>
    <m/>
    <m/>
    <m/>
    <m/>
    <m/>
  </r>
  <r>
    <x v="0"/>
    <s v="Southern Union State Community College"/>
    <m/>
    <n v="251260"/>
    <x v="7"/>
    <n v="112562"/>
    <n v="104065"/>
    <n v="12881"/>
    <n v="13957"/>
    <n v="75163"/>
    <n v="41628"/>
    <n v="24518"/>
    <m/>
    <m/>
    <n v="47918"/>
    <n v="63"/>
    <m/>
    <m/>
    <n v="499"/>
    <n v="0"/>
    <n v="0"/>
    <m/>
    <m/>
    <m/>
    <m/>
    <m/>
    <m/>
    <m/>
    <m/>
    <m/>
    <m/>
    <m/>
    <m/>
  </r>
  <r>
    <x v="0"/>
    <s v="Central Alabama Community College"/>
    <m/>
    <n v="100760"/>
    <x v="8"/>
    <n v="34709"/>
    <n v="32016"/>
    <n v="23021"/>
    <n v="11305"/>
    <m/>
    <m/>
    <n v="11688"/>
    <m/>
    <m/>
    <n v="20711"/>
    <m/>
    <m/>
    <m/>
    <m/>
    <n v="0"/>
    <n v="0"/>
    <m/>
    <m/>
    <m/>
    <m/>
    <m/>
    <m/>
    <m/>
    <m/>
    <m/>
    <m/>
    <m/>
    <m/>
  </r>
  <r>
    <x v="0"/>
    <s v="Chattahoochee Valley Community College"/>
    <m/>
    <n v="101028"/>
    <x v="8"/>
    <n v="39038"/>
    <n v="34657"/>
    <n v="32324"/>
    <n v="12781"/>
    <n v="160"/>
    <n v="4192"/>
    <n v="6554"/>
    <m/>
    <m/>
    <n v="17607"/>
    <m/>
    <m/>
    <m/>
    <n v="77"/>
    <n v="0"/>
    <n v="0"/>
    <m/>
    <m/>
    <m/>
    <m/>
    <m/>
    <m/>
    <m/>
    <m/>
    <m/>
    <m/>
    <m/>
    <m/>
  </r>
  <r>
    <x v="0"/>
    <s v="Enterprise State Community College"/>
    <m/>
    <n v="101143"/>
    <x v="8"/>
    <n v="41515"/>
    <n v="41035"/>
    <n v="30241"/>
    <n v="22170"/>
    <n v="50"/>
    <n v="77"/>
    <n v="11224"/>
    <m/>
    <m/>
    <n v="18727"/>
    <m/>
    <n v="61"/>
    <m/>
    <m/>
    <n v="0"/>
    <n v="0"/>
    <m/>
    <m/>
    <m/>
    <m/>
    <m/>
    <m/>
    <m/>
    <m/>
    <m/>
    <m/>
    <m/>
    <m/>
  </r>
  <r>
    <x v="0"/>
    <s v="George Corley Wallace State Community College - Selma"/>
    <m/>
    <n v="101301"/>
    <x v="8"/>
    <n v="36616"/>
    <n v="31509"/>
    <n v="23813"/>
    <n v="14061"/>
    <m/>
    <m/>
    <n v="12803"/>
    <m/>
    <m/>
    <n v="17448"/>
    <m/>
    <m/>
    <m/>
    <m/>
    <n v="0"/>
    <n v="0"/>
    <m/>
    <m/>
    <m/>
    <m/>
    <m/>
    <m/>
    <m/>
    <m/>
    <m/>
    <m/>
    <m/>
    <m/>
  </r>
  <r>
    <x v="0"/>
    <s v="Lurleen B. Wallace Community College "/>
    <m/>
    <n v="101602"/>
    <x v="8"/>
    <n v="38795"/>
    <n v="37853"/>
    <n v="23720"/>
    <n v="18618"/>
    <n v="1360"/>
    <n v="963"/>
    <n v="13715"/>
    <m/>
    <m/>
    <n v="18272"/>
    <m/>
    <m/>
    <m/>
    <m/>
    <n v="0"/>
    <n v="0"/>
    <m/>
    <m/>
    <m/>
    <m/>
    <m/>
    <m/>
    <m/>
    <m/>
    <m/>
    <m/>
    <m/>
    <m/>
  </r>
  <r>
    <x v="0"/>
    <s v="Northeast Alabama Community College"/>
    <s v="Met the criteria for Two-Year 2 in 2018-19 and 2019-20."/>
    <n v="101897"/>
    <x v="8"/>
    <n v="61464"/>
    <n v="56491"/>
    <n v="32121"/>
    <n v="21613"/>
    <n v="5760"/>
    <n v="2459"/>
    <n v="23583"/>
    <m/>
    <m/>
    <n v="32419"/>
    <m/>
    <m/>
    <m/>
    <m/>
    <n v="0"/>
    <n v="0"/>
    <m/>
    <m/>
    <m/>
    <m/>
    <m/>
    <m/>
    <m/>
    <m/>
    <m/>
    <m/>
    <m/>
    <m/>
  </r>
  <r>
    <x v="0"/>
    <s v="Snead State Community College "/>
    <s v="Met the criteria for Two-Year 2 in 2018-19 and 2019-20."/>
    <n v="102076"/>
    <x v="8"/>
    <n v="60177"/>
    <n v="56582"/>
    <n v="23985"/>
    <n v="18360"/>
    <m/>
    <m/>
    <n v="36192"/>
    <m/>
    <m/>
    <n v="38222"/>
    <m/>
    <m/>
    <m/>
    <m/>
    <n v="0"/>
    <n v="0"/>
    <m/>
    <m/>
    <m/>
    <m/>
    <m/>
    <m/>
    <m/>
    <m/>
    <m/>
    <m/>
    <m/>
    <m/>
  </r>
  <r>
    <x v="0"/>
    <s v="H. Councill Trenholm State Community College"/>
    <m/>
    <n v="102313"/>
    <x v="9"/>
    <n v="44337"/>
    <n v="40736"/>
    <n v="36188"/>
    <n v="17420"/>
    <n v="1603"/>
    <n v="1148"/>
    <n v="6546"/>
    <m/>
    <m/>
    <n v="22168"/>
    <m/>
    <m/>
    <m/>
    <m/>
    <n v="0"/>
    <n v="0"/>
    <m/>
    <m/>
    <m/>
    <m/>
    <m/>
    <m/>
    <m/>
    <m/>
    <m/>
    <m/>
    <m/>
    <m/>
  </r>
  <r>
    <x v="0"/>
    <s v="J.F. Drake State Community and Technical College"/>
    <m/>
    <n v="101462"/>
    <x v="10"/>
    <n v="16002"/>
    <n v="16483"/>
    <n v="10532"/>
    <n v="11136"/>
    <n v="73"/>
    <m/>
    <n v="5397"/>
    <m/>
    <m/>
    <n v="5347"/>
    <m/>
    <m/>
    <m/>
    <m/>
    <n v="0"/>
    <n v="0"/>
    <m/>
    <m/>
    <m/>
    <m/>
    <m/>
    <m/>
    <m/>
    <m/>
    <m/>
    <m/>
    <m/>
    <m/>
  </r>
  <r>
    <x v="0"/>
    <s v="J.F. Ingram State Technical College "/>
    <m/>
    <n v="101471"/>
    <x v="10"/>
    <n v="18353"/>
    <n v="11298"/>
    <n v="18213"/>
    <n v="5978"/>
    <n v="140"/>
    <n v="5320"/>
    <m/>
    <m/>
    <m/>
    <m/>
    <m/>
    <m/>
    <m/>
    <m/>
    <n v="0"/>
    <n v="0"/>
    <m/>
    <m/>
    <m/>
    <m/>
    <m/>
    <m/>
    <m/>
    <m/>
    <m/>
    <m/>
    <m/>
    <m/>
  </r>
  <r>
    <x v="0"/>
    <s v="Reid State Technical College "/>
    <m/>
    <n v="101994"/>
    <x v="10"/>
    <n v="10760"/>
    <n v="9397"/>
    <n v="7950"/>
    <n v="6922"/>
    <n v="2810"/>
    <n v="2078"/>
    <m/>
    <m/>
    <m/>
    <n v="397"/>
    <m/>
    <m/>
    <m/>
    <m/>
    <n v="0"/>
    <n v="0"/>
    <m/>
    <m/>
    <m/>
    <m/>
    <m/>
    <m/>
    <m/>
    <m/>
    <m/>
    <m/>
    <m/>
    <m/>
  </r>
  <r>
    <x v="0"/>
    <s v="Marion Military Institute"/>
    <m/>
    <n v="101648"/>
    <x v="11"/>
    <n v="12854"/>
    <n v="12708"/>
    <n v="12405"/>
    <n v="11896"/>
    <m/>
    <m/>
    <n v="449"/>
    <m/>
    <m/>
    <n v="812"/>
    <m/>
    <m/>
    <m/>
    <m/>
    <n v="0"/>
    <n v="0"/>
    <m/>
    <m/>
    <m/>
    <m/>
    <m/>
    <m/>
    <m/>
    <m/>
    <m/>
    <m/>
    <m/>
    <m/>
  </r>
  <r>
    <x v="1"/>
    <s v="Arkansas State University"/>
    <m/>
    <n v="106458"/>
    <x v="2"/>
    <n v="254704"/>
    <n v="245199"/>
    <n v="162754"/>
    <n v="153757"/>
    <n v="14272"/>
    <n v="10865"/>
    <n v="76767"/>
    <n v="911"/>
    <n v="0"/>
    <n v="79604"/>
    <n v="973"/>
    <m/>
    <n v="0"/>
    <m/>
    <n v="102096"/>
    <n v="105992"/>
    <n v="21707"/>
    <n v="19766"/>
    <n v="54"/>
    <m/>
    <n v="80335"/>
    <n v="0"/>
    <n v="0"/>
    <n v="86226"/>
    <m/>
    <m/>
    <n v="0"/>
    <m/>
  </r>
  <r>
    <x v="1"/>
    <s v="Arkansas Tech University"/>
    <m/>
    <n v="106467"/>
    <x v="2"/>
    <n v="240784"/>
    <n v="240477"/>
    <n v="153615"/>
    <n v="149549"/>
    <n v="19130"/>
    <n v="18540"/>
    <n v="65366"/>
    <n v="0"/>
    <n v="2673"/>
    <n v="69674"/>
    <m/>
    <n v="2714"/>
    <n v="0"/>
    <m/>
    <n v="14102"/>
    <n v="11892"/>
    <n v="3656"/>
    <n v="2481"/>
    <n v="138"/>
    <n v="27"/>
    <n v="9864"/>
    <n v="0"/>
    <n v="444"/>
    <n v="8895"/>
    <m/>
    <n v="489"/>
    <n v="0"/>
    <m/>
  </r>
  <r>
    <x v="1"/>
    <s v="Henderson State University"/>
    <m/>
    <n v="107071"/>
    <x v="3"/>
    <n v="92003"/>
    <n v="91190"/>
    <n v="68475"/>
    <n v="48999"/>
    <n v="5333"/>
    <n v="5733"/>
    <n v="18195"/>
    <n v="0"/>
    <n v="0"/>
    <n v="36458"/>
    <m/>
    <m/>
    <n v="0"/>
    <m/>
    <n v="9983"/>
    <n v="9789"/>
    <n v="2364"/>
    <n v="1086"/>
    <n v="281"/>
    <m/>
    <n v="7338"/>
    <n v="0"/>
    <n v="0"/>
    <n v="8703"/>
    <m/>
    <m/>
    <n v="0"/>
    <m/>
  </r>
  <r>
    <x v="1"/>
    <s v="Southern Arkansas University"/>
    <m/>
    <n v="107983"/>
    <x v="3"/>
    <n v="98051"/>
    <n v="98593"/>
    <n v="75939"/>
    <n v="71515"/>
    <n v="1829"/>
    <n v="1579"/>
    <n v="20283"/>
    <n v="0"/>
    <n v="0"/>
    <n v="25499"/>
    <m/>
    <m/>
    <n v="0"/>
    <m/>
    <n v="15027"/>
    <n v="15069"/>
    <n v="1782"/>
    <n v="1269"/>
    <n v="492"/>
    <m/>
    <n v="12753"/>
    <n v="0"/>
    <n v="0"/>
    <n v="13800"/>
    <m/>
    <m/>
    <n v="0"/>
    <m/>
  </r>
  <r>
    <x v="1"/>
    <s v="University of Arkansas, Fayetteville"/>
    <m/>
    <n v="106397"/>
    <x v="0"/>
    <n v="670354"/>
    <n v="657385"/>
    <n v="593342"/>
    <n v="564996"/>
    <n v="9131"/>
    <n v="4940"/>
    <n v="64712"/>
    <n v="520"/>
    <n v="0"/>
    <n v="84847"/>
    <n v="352"/>
    <m/>
    <n v="2649"/>
    <n v="2250"/>
    <n v="76358"/>
    <n v="79052"/>
    <n v="50823"/>
    <n v="47068"/>
    <n v="569"/>
    <n v="363"/>
    <n v="24930"/>
    <n v="36"/>
    <n v="0"/>
    <n v="31537"/>
    <n v="81"/>
    <n v="3"/>
    <n v="0"/>
    <m/>
  </r>
  <r>
    <x v="1"/>
    <s v="University of Arkansas at Fort Smith"/>
    <m/>
    <n v="108092"/>
    <x v="5"/>
    <n v="156537"/>
    <n v="148021"/>
    <n v="97365"/>
    <n v="85154"/>
    <n v="15998"/>
    <n v="15778"/>
    <n v="43162"/>
    <n v="12"/>
    <n v="0"/>
    <n v="47077"/>
    <n v="12"/>
    <m/>
    <n v="0"/>
    <m/>
    <n v="464"/>
    <n v="582"/>
    <n v="0"/>
    <n v="0"/>
    <m/>
    <m/>
    <n v="464"/>
    <n v="0"/>
    <n v="0"/>
    <n v="582"/>
    <m/>
    <m/>
    <n v="0"/>
    <m/>
  </r>
  <r>
    <x v="1"/>
    <s v="University of Arkansas at Little Rock"/>
    <m/>
    <n v="106245"/>
    <x v="1"/>
    <n v="168675"/>
    <n v="170986"/>
    <n v="95402"/>
    <n v="80394"/>
    <n v="2184"/>
    <n v="13149"/>
    <n v="71089"/>
    <n v="0"/>
    <n v="0"/>
    <n v="77443"/>
    <m/>
    <m/>
    <n v="0"/>
    <m/>
    <n v="41407"/>
    <n v="36529"/>
    <n v="18279"/>
    <n v="12170"/>
    <n v="11250"/>
    <n v="12187"/>
    <n v="11878"/>
    <n v="0"/>
    <n v="0"/>
    <n v="12172"/>
    <m/>
    <m/>
    <n v="0"/>
    <m/>
  </r>
  <r>
    <x v="1"/>
    <s v="University of Arkansas at Monticello"/>
    <m/>
    <n v="106485"/>
    <x v="3"/>
    <n v="70020"/>
    <n v="64047"/>
    <n v="43802"/>
    <n v="37383"/>
    <n v="11003"/>
    <n v="26664"/>
    <n v="15215"/>
    <n v="0"/>
    <n v="0"/>
    <n v="0"/>
    <m/>
    <m/>
    <n v="0"/>
    <m/>
    <n v="6579"/>
    <n v="6913"/>
    <n v="1107"/>
    <n v="836"/>
    <m/>
    <m/>
    <n v="5472"/>
    <n v="0"/>
    <n v="0"/>
    <n v="6077"/>
    <m/>
    <m/>
    <n v="0"/>
    <m/>
  </r>
  <r>
    <x v="1"/>
    <s v="University of Arkansas for Medical Sciences"/>
    <m/>
    <n v="106263"/>
    <x v="11"/>
    <n v="19976"/>
    <n v="19701"/>
    <n v="11154"/>
    <n v="11762"/>
    <n v="3501"/>
    <n v="236"/>
    <n v="4246"/>
    <n v="1075"/>
    <n v="0"/>
    <n v="4710"/>
    <n v="2993"/>
    <m/>
    <n v="0"/>
    <m/>
    <n v="65678"/>
    <n v="63129"/>
    <n v="54290"/>
    <n v="43626"/>
    <n v="3619"/>
    <n v="3973"/>
    <n v="7769"/>
    <m/>
    <m/>
    <n v="9040"/>
    <n v="6490"/>
    <m/>
    <n v="0"/>
    <m/>
  </r>
  <r>
    <x v="1"/>
    <s v="University of Arkansas at Pine Bluff"/>
    <s v="Met the criteria for Four-Year 4 in 2020-21."/>
    <n v="106412"/>
    <x v="5"/>
    <n v="70595"/>
    <n v="66358"/>
    <n v="56940"/>
    <n v="50958"/>
    <n v="50"/>
    <n v="107"/>
    <n v="13605"/>
    <n v="0"/>
    <n v="0"/>
    <n v="15293"/>
    <m/>
    <m/>
    <n v="0"/>
    <m/>
    <n v="1663"/>
    <n v="2010"/>
    <n v="1282"/>
    <n v="1158"/>
    <m/>
    <m/>
    <n v="381"/>
    <n v="0"/>
    <n v="0"/>
    <n v="852"/>
    <m/>
    <m/>
    <n v="0"/>
    <m/>
  </r>
  <r>
    <x v="1"/>
    <s v="University of Central Arkansas "/>
    <m/>
    <n v="106704"/>
    <x v="2"/>
    <n v="260689"/>
    <n v="252347"/>
    <n v="225366"/>
    <n v="196194"/>
    <n v="4325"/>
    <n v="4136"/>
    <n v="30653"/>
    <n v="303"/>
    <n v="42"/>
    <n v="47906"/>
    <n v="1105"/>
    <n v="3006"/>
    <n v="0"/>
    <m/>
    <n v="36559"/>
    <n v="36739"/>
    <n v="20314"/>
    <n v="16029"/>
    <n v="33"/>
    <n v="15"/>
    <n v="13690"/>
    <n v="2376"/>
    <n v="146"/>
    <n v="17514"/>
    <n v="2019"/>
    <n v="1162"/>
    <n v="0"/>
    <m/>
  </r>
  <r>
    <x v="1"/>
    <s v="Arkansas Northeastern College"/>
    <m/>
    <n v="107327"/>
    <x v="8"/>
    <n v="26543"/>
    <n v="27031"/>
    <n v="16023"/>
    <n v="15595"/>
    <n v="416"/>
    <n v="63"/>
    <n v="10104"/>
    <n v="0"/>
    <n v="0"/>
    <n v="11373"/>
    <m/>
    <m/>
    <n v="0"/>
    <m/>
    <n v="0"/>
    <n v="0"/>
    <m/>
    <m/>
    <m/>
    <m/>
    <m/>
    <m/>
    <m/>
    <m/>
    <m/>
    <m/>
    <m/>
    <m/>
  </r>
  <r>
    <x v="1"/>
    <s v="Arkansas State University-Beebe"/>
    <m/>
    <n v="106449"/>
    <x v="7"/>
    <n v="75950"/>
    <n v="72387"/>
    <n v="45457"/>
    <n v="37125"/>
    <n v="8769"/>
    <n v="7470"/>
    <n v="21586"/>
    <n v="138"/>
    <n v="0"/>
    <n v="27686"/>
    <n v="106"/>
    <m/>
    <n v="0"/>
    <m/>
    <n v="0"/>
    <n v="0"/>
    <m/>
    <m/>
    <m/>
    <m/>
    <m/>
    <m/>
    <m/>
    <m/>
    <m/>
    <m/>
    <m/>
    <m/>
  </r>
  <r>
    <x v="1"/>
    <s v="Arkansas State University Mountain Home"/>
    <m/>
    <n v="420538"/>
    <x v="8"/>
    <n v="29200"/>
    <n v="27281"/>
    <n v="14702"/>
    <n v="14495"/>
    <n v="1990"/>
    <n v="641"/>
    <n v="12312"/>
    <n v="196"/>
    <n v="0"/>
    <n v="11653"/>
    <n v="255"/>
    <n v="237"/>
    <n v="0"/>
    <m/>
    <n v="0"/>
    <n v="0"/>
    <m/>
    <m/>
    <m/>
    <m/>
    <m/>
    <m/>
    <m/>
    <m/>
    <m/>
    <m/>
    <m/>
    <m/>
  </r>
  <r>
    <x v="1"/>
    <s v="Arkansas State University Mid-South"/>
    <m/>
    <n v="107318"/>
    <x v="8"/>
    <n v="24634"/>
    <n v="22753"/>
    <n v="18097"/>
    <n v="15113"/>
    <n v="36"/>
    <n v="6"/>
    <n v="6501"/>
    <n v="0"/>
    <n v="0"/>
    <n v="7588"/>
    <n v="30"/>
    <n v="16"/>
    <n v="0"/>
    <m/>
    <n v="0"/>
    <n v="0"/>
    <m/>
    <m/>
    <m/>
    <m/>
    <m/>
    <m/>
    <m/>
    <m/>
    <m/>
    <m/>
    <m/>
    <m/>
  </r>
  <r>
    <x v="1"/>
    <s v="Arkansas State University-Newport"/>
    <m/>
    <n v="440402"/>
    <x v="8"/>
    <n v="56930"/>
    <n v="54706"/>
    <n v="26620"/>
    <n v="24324"/>
    <n v="4300"/>
    <n v="5623"/>
    <n v="26010"/>
    <n v="0"/>
    <n v="0"/>
    <n v="24759"/>
    <m/>
    <m/>
    <n v="0"/>
    <m/>
    <n v="0"/>
    <n v="0"/>
    <m/>
    <m/>
    <m/>
    <m/>
    <m/>
    <m/>
    <m/>
    <m/>
    <m/>
    <m/>
    <m/>
    <m/>
  </r>
  <r>
    <x v="1"/>
    <s v="Arkansas State University Three Rivers"/>
    <s v="2019-20: Institution joined one of our university systems"/>
    <n v="107521"/>
    <x v="8"/>
    <n v="21506"/>
    <n v="20316"/>
    <n v="14626"/>
    <n v="13450"/>
    <n v="4007"/>
    <n v="2778"/>
    <n v="2873"/>
    <n v="0"/>
    <n v="0"/>
    <n v="4088"/>
    <m/>
    <m/>
    <n v="0"/>
    <m/>
    <n v="0"/>
    <n v="0"/>
    <m/>
    <m/>
    <m/>
    <m/>
    <m/>
    <m/>
    <m/>
    <m/>
    <m/>
    <m/>
    <m/>
    <m/>
  </r>
  <r>
    <x v="1"/>
    <s v="Black River Technical College"/>
    <m/>
    <n v="106625"/>
    <x v="8"/>
    <n v="36727"/>
    <n v="33908"/>
    <n v="22875"/>
    <n v="17865"/>
    <n v="1986"/>
    <n v="2040"/>
    <n v="10848"/>
    <n v="1018"/>
    <n v="0"/>
    <n v="13084"/>
    <n v="919"/>
    <m/>
    <n v="0"/>
    <m/>
    <n v="0"/>
    <n v="0"/>
    <m/>
    <m/>
    <m/>
    <m/>
    <m/>
    <m/>
    <m/>
    <m/>
    <m/>
    <m/>
    <m/>
    <m/>
  </r>
  <r>
    <x v="1"/>
    <s v="Cossatot Community College of the University of Arkansas"/>
    <m/>
    <n v="106795"/>
    <x v="8"/>
    <n v="27631"/>
    <n v="28978"/>
    <n v="5959"/>
    <n v="11081"/>
    <n v="9744"/>
    <n v="5628"/>
    <n v="9479"/>
    <n v="2449"/>
    <n v="0"/>
    <n v="10115"/>
    <n v="1980"/>
    <n v="174"/>
    <n v="0"/>
    <m/>
    <n v="0"/>
    <n v="0"/>
    <m/>
    <m/>
    <m/>
    <m/>
    <m/>
    <m/>
    <m/>
    <m/>
    <m/>
    <m/>
    <m/>
    <m/>
  </r>
  <r>
    <x v="1"/>
    <s v="East Arkansas Community College "/>
    <m/>
    <n v="106883"/>
    <x v="8"/>
    <n v="22620"/>
    <n v="26274"/>
    <n v="11394"/>
    <n v="11032"/>
    <n v="3707"/>
    <n v="4861"/>
    <n v="7519"/>
    <n v="0"/>
    <n v="0"/>
    <n v="10381"/>
    <m/>
    <m/>
    <n v="0"/>
    <m/>
    <n v="0"/>
    <n v="0"/>
    <m/>
    <m/>
    <m/>
    <m/>
    <m/>
    <m/>
    <m/>
    <m/>
    <m/>
    <m/>
    <m/>
    <m/>
  </r>
  <r>
    <x v="1"/>
    <s v="North Arkansas College"/>
    <m/>
    <n v="107460"/>
    <x v="8"/>
    <n v="38783"/>
    <n v="37304"/>
    <n v="27168"/>
    <n v="21052"/>
    <n v="757"/>
    <n v="2149"/>
    <n v="10625"/>
    <n v="233"/>
    <n v="0"/>
    <n v="13753"/>
    <n v="350"/>
    <m/>
    <n v="0"/>
    <m/>
    <n v="0"/>
    <n v="0"/>
    <m/>
    <m/>
    <m/>
    <m/>
    <m/>
    <m/>
    <m/>
    <m/>
    <m/>
    <m/>
    <m/>
    <m/>
  </r>
  <r>
    <x v="1"/>
    <s v="National Park College"/>
    <m/>
    <n v="106980"/>
    <x v="8"/>
    <n v="54992"/>
    <n v="55410"/>
    <n v="36647"/>
    <n v="29839"/>
    <n v="4928"/>
    <n v="4523"/>
    <n v="13417"/>
    <n v="0"/>
    <n v="0"/>
    <n v="21048"/>
    <m/>
    <m/>
    <n v="0"/>
    <m/>
    <n v="0"/>
    <n v="0"/>
    <m/>
    <m/>
    <m/>
    <m/>
    <m/>
    <m/>
    <m/>
    <m/>
    <m/>
    <m/>
    <m/>
    <m/>
  </r>
  <r>
    <x v="1"/>
    <s v="Northwest Arkansas Community College "/>
    <s v="Met the criteria for Two-Year 2 in 2020-21."/>
    <n v="367459"/>
    <x v="6"/>
    <n v="149512"/>
    <n v="151510"/>
    <n v="89138"/>
    <n v="79893"/>
    <n v="14384"/>
    <n v="18095"/>
    <n v="45990"/>
    <n v="0"/>
    <n v="0"/>
    <n v="53522"/>
    <m/>
    <m/>
    <n v="0"/>
    <m/>
    <n v="0"/>
    <n v="0"/>
    <m/>
    <m/>
    <m/>
    <m/>
    <m/>
    <m/>
    <m/>
    <m/>
    <m/>
    <m/>
    <m/>
    <m/>
  </r>
  <r>
    <x v="1"/>
    <s v="Ozarka College "/>
    <m/>
    <n v="107549"/>
    <x v="8"/>
    <n v="23629"/>
    <n v="23894"/>
    <n v="10118"/>
    <n v="9910"/>
    <n v="2173"/>
    <n v="1710"/>
    <n v="11338"/>
    <n v="0"/>
    <n v="0"/>
    <n v="12274"/>
    <m/>
    <m/>
    <n v="0"/>
    <m/>
    <n v="0"/>
    <n v="0"/>
    <m/>
    <m/>
    <m/>
    <m/>
    <m/>
    <m/>
    <m/>
    <m/>
    <m/>
    <m/>
    <m/>
    <m/>
  </r>
  <r>
    <x v="1"/>
    <s v="Phillips Community College of the Univ of Arkansas"/>
    <m/>
    <n v="107619"/>
    <x v="8"/>
    <n v="27464"/>
    <n v="27365"/>
    <n v="16235"/>
    <n v="14217"/>
    <n v="5197"/>
    <n v="5104"/>
    <n v="3717"/>
    <n v="2315"/>
    <n v="0"/>
    <n v="5585"/>
    <n v="2459"/>
    <m/>
    <n v="0"/>
    <m/>
    <n v="0"/>
    <n v="0"/>
    <m/>
    <m/>
    <m/>
    <m/>
    <m/>
    <m/>
    <m/>
    <m/>
    <m/>
    <m/>
    <m/>
    <m/>
  </r>
  <r>
    <x v="1"/>
    <s v="South Arkansas Community College"/>
    <m/>
    <n v="107974"/>
    <x v="8"/>
    <n v="31419"/>
    <n v="30273"/>
    <n v="15477"/>
    <n v="14621"/>
    <n v="5696"/>
    <n v="5561"/>
    <n v="10246"/>
    <n v="0"/>
    <n v="0"/>
    <n v="10091"/>
    <m/>
    <m/>
    <n v="0"/>
    <m/>
    <n v="0"/>
    <n v="0"/>
    <m/>
    <m/>
    <m/>
    <m/>
    <m/>
    <m/>
    <m/>
    <m/>
    <m/>
    <m/>
    <m/>
    <m/>
  </r>
  <r>
    <x v="1"/>
    <s v="Southern Arkansas University Tech"/>
    <m/>
    <n v="107992"/>
    <x v="8"/>
    <n v="28429"/>
    <n v="25409"/>
    <n v="11278"/>
    <n v="14991"/>
    <n v="10363"/>
    <n v="3486"/>
    <n v="6788"/>
    <n v="0"/>
    <n v="0"/>
    <n v="6932"/>
    <m/>
    <m/>
    <n v="0"/>
    <m/>
    <n v="0"/>
    <n v="0"/>
    <m/>
    <m/>
    <m/>
    <m/>
    <m/>
    <m/>
    <m/>
    <m/>
    <m/>
    <m/>
    <m/>
    <m/>
  </r>
  <r>
    <x v="1"/>
    <s v="Southeast Arkansas College"/>
    <m/>
    <n v="107637"/>
    <x v="8"/>
    <n v="24902"/>
    <n v="26630"/>
    <n v="18053"/>
    <n v="16767"/>
    <n v="1237"/>
    <n v="1071"/>
    <n v="5612"/>
    <n v="0"/>
    <n v="0"/>
    <n v="8792"/>
    <m/>
    <m/>
    <n v="0"/>
    <m/>
    <n v="0"/>
    <n v="0"/>
    <m/>
    <m/>
    <m/>
    <m/>
    <m/>
    <m/>
    <m/>
    <m/>
    <m/>
    <m/>
    <m/>
    <m/>
  </r>
  <r>
    <x v="1"/>
    <s v="University of Arkansas Community College at Batesville"/>
    <m/>
    <n v="106999"/>
    <x v="8"/>
    <n v="28645"/>
    <n v="29463"/>
    <n v="18296"/>
    <n v="19464"/>
    <n v="1397"/>
    <n v="1028"/>
    <n v="8952"/>
    <n v="0"/>
    <n v="0"/>
    <n v="8971"/>
    <m/>
    <m/>
    <n v="0"/>
    <m/>
    <n v="0"/>
    <n v="0"/>
    <m/>
    <m/>
    <m/>
    <m/>
    <m/>
    <m/>
    <m/>
    <m/>
    <m/>
    <m/>
    <m/>
    <m/>
  </r>
  <r>
    <x v="1"/>
    <s v="University of Arkansas Community College at Hope-Texarkana"/>
    <m/>
    <n v="107725"/>
    <x v="8"/>
    <n v="29434"/>
    <n v="28130"/>
    <n v="13219"/>
    <n v="14636"/>
    <n v="8402"/>
    <n v="5508"/>
    <n v="5641"/>
    <n v="2172"/>
    <n v="0"/>
    <n v="5880"/>
    <n v="2106"/>
    <m/>
    <n v="0"/>
    <m/>
    <n v="0"/>
    <n v="0"/>
    <m/>
    <m/>
    <m/>
    <m/>
    <m/>
    <m/>
    <m/>
    <m/>
    <m/>
    <m/>
    <m/>
    <m/>
  </r>
  <r>
    <x v="1"/>
    <s v="University of Arkansas Community College at Morrilton"/>
    <m/>
    <n v="107585"/>
    <x v="8"/>
    <n v="42425"/>
    <n v="40997"/>
    <n v="35328"/>
    <n v="31755"/>
    <n v="87"/>
    <n v="0"/>
    <n v="7010"/>
    <n v="0"/>
    <n v="0"/>
    <n v="9242"/>
    <m/>
    <m/>
    <n v="0"/>
    <m/>
    <n v="0"/>
    <n v="0"/>
    <m/>
    <m/>
    <m/>
    <m/>
    <m/>
    <m/>
    <m/>
    <m/>
    <m/>
    <m/>
    <m/>
    <m/>
  </r>
  <r>
    <x v="1"/>
    <s v="University of Arkansas Community College Rich Mountain"/>
    <m/>
    <n v="107743"/>
    <x v="8"/>
    <n v="15657"/>
    <n v="16918"/>
    <n v="9875"/>
    <n v="9900"/>
    <n v="2085"/>
    <n v="2018"/>
    <n v="3562"/>
    <n v="135"/>
    <n v="0"/>
    <n v="4673"/>
    <n v="327"/>
    <m/>
    <n v="0"/>
    <m/>
    <n v="0"/>
    <n v="0"/>
    <m/>
    <m/>
    <m/>
    <m/>
    <m/>
    <m/>
    <m/>
    <m/>
    <m/>
    <m/>
    <m/>
    <m/>
  </r>
  <r>
    <x v="1"/>
    <s v="University of Arkansas - Pulaski Technical College"/>
    <m/>
    <n v="107664"/>
    <x v="7"/>
    <n v="111297"/>
    <n v="117967"/>
    <n v="71324"/>
    <n v="72440"/>
    <n v="2637"/>
    <n v="2470"/>
    <n v="37336"/>
    <n v="0"/>
    <n v="0"/>
    <n v="43057"/>
    <m/>
    <m/>
    <n v="0"/>
    <m/>
    <n v="0"/>
    <n v="0"/>
    <m/>
    <m/>
    <m/>
    <m/>
    <m/>
    <m/>
    <m/>
    <m/>
    <m/>
    <m/>
    <m/>
    <m/>
  </r>
  <r>
    <x v="2"/>
    <s v="University of Delaware"/>
    <m/>
    <n v="130943"/>
    <x v="0"/>
    <n v="599291"/>
    <n v="600612"/>
    <n v="574308"/>
    <n v="294779"/>
    <m/>
    <m/>
    <n v="24983"/>
    <n v="0"/>
    <n v="0"/>
    <n v="305833"/>
    <n v="0"/>
    <n v="0"/>
    <m/>
    <m/>
    <n v="75200"/>
    <n v="74608"/>
    <n v="64007"/>
    <n v="37072"/>
    <m/>
    <m/>
    <n v="11193"/>
    <n v="0"/>
    <n v="0"/>
    <n v="37536"/>
    <n v="0"/>
    <n v="0"/>
    <m/>
    <m/>
  </r>
  <r>
    <x v="2"/>
    <s v="Delaware State University"/>
    <m/>
    <n v="130934"/>
    <x v="2"/>
    <n v="128111"/>
    <n v="131706"/>
    <n v="112954"/>
    <n v="104438"/>
    <m/>
    <m/>
    <n v="15157"/>
    <n v="0"/>
    <n v="0"/>
    <n v="27268"/>
    <n v="0"/>
    <n v="0"/>
    <m/>
    <m/>
    <n v="7243"/>
    <n v="9354"/>
    <n v="4900"/>
    <n v="5072"/>
    <m/>
    <m/>
    <n v="2343"/>
    <n v="0"/>
    <n v="0"/>
    <n v="4282"/>
    <n v="0"/>
    <n v="0"/>
    <m/>
    <m/>
  </r>
  <r>
    <x v="2"/>
    <s v="Delaware Technical and Community College--Terry"/>
    <s v="Met the criteria for Two-Year with Bachelor's in 2019-20. "/>
    <n v="130907"/>
    <x v="7"/>
    <n v="259787"/>
    <n v="240081"/>
    <n v="204897"/>
    <n v="178034"/>
    <m/>
    <m/>
    <n v="53543"/>
    <n v="865"/>
    <n v="482"/>
    <n v="59421"/>
    <n v="979"/>
    <n v="1647"/>
    <m/>
    <m/>
    <n v="0"/>
    <n v="0"/>
    <m/>
    <m/>
    <m/>
    <m/>
    <m/>
    <m/>
    <m/>
    <m/>
    <m/>
    <m/>
    <m/>
    <m/>
  </r>
  <r>
    <x v="3"/>
    <m/>
    <m/>
    <m/>
    <x v="12"/>
    <n v="0"/>
    <n v="0"/>
    <m/>
    <m/>
    <m/>
    <m/>
    <m/>
    <m/>
    <m/>
    <m/>
    <m/>
    <m/>
    <m/>
    <m/>
    <n v="0"/>
    <n v="0"/>
    <m/>
    <m/>
    <m/>
    <m/>
    <m/>
    <m/>
    <m/>
    <m/>
    <m/>
    <m/>
    <m/>
    <m/>
  </r>
  <r>
    <x v="3"/>
    <s v="Eastern Florida State College"/>
    <m/>
    <n v="132693"/>
    <x v="13"/>
    <n v="313337"/>
    <n v="305122"/>
    <n v="196703"/>
    <n v="103335"/>
    <n v="5845"/>
    <n v="4102"/>
    <n v="110789"/>
    <n v="0"/>
    <n v="0"/>
    <n v="154828"/>
    <n v="42857"/>
    <n v="0"/>
    <n v="0"/>
    <n v="0"/>
    <n v="0"/>
    <n v="0"/>
    <m/>
    <m/>
    <m/>
    <m/>
    <m/>
    <m/>
    <m/>
    <m/>
    <m/>
    <m/>
    <m/>
    <m/>
  </r>
  <r>
    <x v="3"/>
    <s v="Broward College "/>
    <m/>
    <n v="132709"/>
    <x v="13"/>
    <n v="826419"/>
    <n v="761067"/>
    <n v="603695"/>
    <n v="316089"/>
    <n v="36944"/>
    <n v="22265"/>
    <n v="185483"/>
    <n v="0"/>
    <n v="285"/>
    <n v="194781"/>
    <n v="227752"/>
    <n v="0"/>
    <n v="12"/>
    <n v="180"/>
    <n v="0"/>
    <n v="0"/>
    <m/>
    <m/>
    <m/>
    <m/>
    <m/>
    <m/>
    <m/>
    <m/>
    <m/>
    <m/>
    <m/>
    <m/>
  </r>
  <r>
    <x v="3"/>
    <s v="College of Central Florida"/>
    <m/>
    <n v="132851"/>
    <x v="13"/>
    <n v="146358"/>
    <n v="139303"/>
    <n v="95386"/>
    <n v="47353"/>
    <n v="0"/>
    <n v="0"/>
    <n v="50972"/>
    <n v="0"/>
    <n v="0"/>
    <n v="90808"/>
    <n v="0"/>
    <n v="1142"/>
    <n v="0"/>
    <n v="0"/>
    <n v="0"/>
    <n v="0"/>
    <m/>
    <m/>
    <m/>
    <m/>
    <m/>
    <m/>
    <m/>
    <m/>
    <m/>
    <m/>
    <m/>
    <m/>
  </r>
  <r>
    <x v="3"/>
    <s v="Chipola College "/>
    <m/>
    <n v="133021"/>
    <x v="13"/>
    <n v="38380"/>
    <n v="37404"/>
    <n v="25145"/>
    <n v="18026"/>
    <n v="1906"/>
    <n v="3381"/>
    <n v="11329"/>
    <n v="0"/>
    <n v="0"/>
    <n v="15997"/>
    <n v="0"/>
    <n v="0"/>
    <n v="0"/>
    <n v="0"/>
    <n v="0"/>
    <n v="0"/>
    <m/>
    <m/>
    <m/>
    <m/>
    <m/>
    <m/>
    <m/>
    <m/>
    <m/>
    <m/>
    <m/>
    <m/>
  </r>
  <r>
    <x v="3"/>
    <s v="Daytona State College "/>
    <m/>
    <n v="133386"/>
    <x v="13"/>
    <n v="283013"/>
    <n v="278713"/>
    <n v="143503"/>
    <n v="94226"/>
    <n v="7177"/>
    <n v="7172"/>
    <n v="132333"/>
    <n v="0"/>
    <n v="0"/>
    <n v="177315"/>
    <n v="0"/>
    <n v="0"/>
    <n v="0"/>
    <n v="0"/>
    <n v="0"/>
    <n v="0"/>
    <m/>
    <m/>
    <m/>
    <m/>
    <m/>
    <m/>
    <m/>
    <m/>
    <m/>
    <m/>
    <m/>
    <m/>
  </r>
  <r>
    <x v="3"/>
    <s v="Florida SouthWestern State College"/>
    <m/>
    <n v="133508"/>
    <x v="13"/>
    <n v="330497"/>
    <n v="310635"/>
    <n v="225593"/>
    <n v="152877"/>
    <n v="15807"/>
    <n v="14254"/>
    <n v="87771"/>
    <n v="0"/>
    <n v="0"/>
    <n v="142434"/>
    <n v="0"/>
    <n v="0"/>
    <n v="1326"/>
    <n v="1070"/>
    <n v="0"/>
    <n v="0"/>
    <m/>
    <m/>
    <m/>
    <m/>
    <m/>
    <m/>
    <m/>
    <m/>
    <m/>
    <m/>
    <m/>
    <m/>
  </r>
  <r>
    <x v="3"/>
    <s v="Florida State College at Jacksonville"/>
    <m/>
    <n v="133702"/>
    <x v="13"/>
    <n v="479913"/>
    <n v="460902"/>
    <n v="328845"/>
    <n v="104697"/>
    <n v="10264"/>
    <n v="17274"/>
    <n v="140804"/>
    <n v="0"/>
    <n v="0"/>
    <n v="212963"/>
    <n v="125968"/>
    <n v="0"/>
    <n v="0"/>
    <n v="0"/>
    <n v="0"/>
    <n v="0"/>
    <m/>
    <m/>
    <m/>
    <m/>
    <m/>
    <m/>
    <m/>
    <m/>
    <m/>
    <m/>
    <m/>
    <m/>
  </r>
  <r>
    <x v="3"/>
    <s v="The College of the Florida Keys"/>
    <s v="Met the criteria for Two-Year with Bachelor's in 2018-19 and 2019-20. "/>
    <n v="133960"/>
    <x v="8"/>
    <n v="18962"/>
    <n v="20810"/>
    <n v="13162"/>
    <n v="7889"/>
    <n v="678"/>
    <n v="975"/>
    <n v="5122"/>
    <n v="0"/>
    <n v="0"/>
    <n v="11946"/>
    <n v="0"/>
    <n v="0"/>
    <n v="0"/>
    <n v="0"/>
    <n v="0"/>
    <n v="0"/>
    <m/>
    <m/>
    <m/>
    <m/>
    <m/>
    <m/>
    <m/>
    <m/>
    <m/>
    <m/>
    <m/>
    <m/>
  </r>
  <r>
    <x v="3"/>
    <s v="Gulf Coast State College "/>
    <m/>
    <n v="134343"/>
    <x v="13"/>
    <n v="90176"/>
    <n v="90169"/>
    <n v="51883"/>
    <n v="46130"/>
    <n v="9030"/>
    <n v="9098"/>
    <n v="29263"/>
    <n v="0"/>
    <n v="0"/>
    <n v="34941"/>
    <n v="0"/>
    <n v="0"/>
    <n v="0"/>
    <n v="0"/>
    <n v="0"/>
    <n v="0"/>
    <m/>
    <m/>
    <m/>
    <m/>
    <m/>
    <m/>
    <m/>
    <m/>
    <m/>
    <m/>
    <m/>
    <m/>
  </r>
  <r>
    <x v="3"/>
    <s v="Hillsborough Community College "/>
    <m/>
    <n v="134495"/>
    <x v="6"/>
    <n v="587949"/>
    <n v="566562"/>
    <n v="356199"/>
    <n v="177410"/>
    <n v="25797"/>
    <n v="25820"/>
    <n v="205953"/>
    <n v="0"/>
    <n v="0"/>
    <n v="363332"/>
    <n v="0"/>
    <n v="0"/>
    <n v="0"/>
    <n v="0"/>
    <n v="0"/>
    <n v="0"/>
    <m/>
    <m/>
    <m/>
    <m/>
    <m/>
    <m/>
    <m/>
    <m/>
    <m/>
    <m/>
    <m/>
    <m/>
  </r>
  <r>
    <x v="3"/>
    <s v="Indian River State College "/>
    <m/>
    <n v="134608"/>
    <x v="13"/>
    <n v="316920"/>
    <n v="301288"/>
    <n v="185326"/>
    <n v="106134"/>
    <n v="27091"/>
    <n v="5981"/>
    <n v="69185"/>
    <n v="0"/>
    <n v="35318"/>
    <n v="173434"/>
    <n v="15739"/>
    <n v="0"/>
    <n v="0"/>
    <n v="0"/>
    <n v="0"/>
    <n v="0"/>
    <m/>
    <m/>
    <m/>
    <m/>
    <m/>
    <m/>
    <m/>
    <m/>
    <m/>
    <m/>
    <m/>
    <m/>
  </r>
  <r>
    <x v="3"/>
    <s v="Florida Gateway College"/>
    <m/>
    <n v="135160"/>
    <x v="13"/>
    <n v="64237"/>
    <n v="60416"/>
    <n v="24772"/>
    <n v="18529"/>
    <n v="4161"/>
    <n v="3055"/>
    <n v="35304"/>
    <n v="0"/>
    <n v="0"/>
    <n v="38832"/>
    <n v="0"/>
    <n v="0"/>
    <n v="0"/>
    <n v="0"/>
    <n v="0"/>
    <n v="0"/>
    <m/>
    <m/>
    <m/>
    <m/>
    <m/>
    <m/>
    <m/>
    <m/>
    <m/>
    <m/>
    <m/>
    <m/>
  </r>
  <r>
    <x v="3"/>
    <s v="Lake-Sumter State College "/>
    <m/>
    <n v="135188"/>
    <x v="13"/>
    <n v="99162"/>
    <n v="97706"/>
    <n v="63914"/>
    <n v="31829"/>
    <n v="0"/>
    <n v="0"/>
    <n v="35248"/>
    <n v="0"/>
    <n v="0"/>
    <n v="65877"/>
    <n v="0"/>
    <n v="0"/>
    <n v="0"/>
    <n v="0"/>
    <n v="0"/>
    <n v="0"/>
    <m/>
    <m/>
    <m/>
    <m/>
    <m/>
    <m/>
    <m/>
    <m/>
    <m/>
    <m/>
    <m/>
    <m/>
  </r>
  <r>
    <x v="3"/>
    <s v="State College of Florida, Manatee-Sarasota"/>
    <m/>
    <n v="135391"/>
    <x v="13"/>
    <n v="200641"/>
    <n v="197418"/>
    <n v="119488"/>
    <n v="69428"/>
    <n v="4208"/>
    <n v="0"/>
    <n v="76945"/>
    <n v="0"/>
    <n v="0"/>
    <n v="115010"/>
    <n v="12980"/>
    <n v="0"/>
    <n v="0"/>
    <n v="0"/>
    <n v="0"/>
    <n v="0"/>
    <m/>
    <m/>
    <m/>
    <m/>
    <m/>
    <m/>
    <m/>
    <m/>
    <m/>
    <m/>
    <m/>
    <m/>
  </r>
  <r>
    <x v="3"/>
    <s v="Miami Dade College "/>
    <m/>
    <n v="135717"/>
    <x v="13"/>
    <n v="1325305"/>
    <n v="1238787"/>
    <n v="1148586"/>
    <n v="633556"/>
    <n v="20051"/>
    <n v="17779"/>
    <n v="154631"/>
    <n v="0"/>
    <n v="0"/>
    <n v="424660"/>
    <n v="160784"/>
    <n v="0"/>
    <n v="2037"/>
    <n v="2008"/>
    <n v="0"/>
    <n v="0"/>
    <m/>
    <m/>
    <m/>
    <m/>
    <m/>
    <m/>
    <m/>
    <m/>
    <m/>
    <m/>
    <m/>
    <m/>
  </r>
  <r>
    <x v="3"/>
    <s v="North Florida College "/>
    <s v="Met the criteria for Two-Year with Bachelor's in 2019-20. "/>
    <n v="136145"/>
    <x v="8"/>
    <n v="22335"/>
    <n v="21932"/>
    <n v="12248"/>
    <n v="8942"/>
    <n v="288"/>
    <n v="588"/>
    <n v="9799"/>
    <n v="0"/>
    <n v="0"/>
    <n v="12170"/>
    <n v="232"/>
    <n v="0"/>
    <n v="0"/>
    <n v="0"/>
    <n v="0"/>
    <n v="0"/>
    <m/>
    <m/>
    <m/>
    <m/>
    <m/>
    <m/>
    <m/>
    <m/>
    <m/>
    <m/>
    <m/>
    <m/>
  </r>
  <r>
    <x v="3"/>
    <s v="Northwest Florida State College"/>
    <m/>
    <n v="136233"/>
    <x v="13"/>
    <n v="108814"/>
    <n v="105506"/>
    <n v="58047"/>
    <n v="38892"/>
    <n v="6697"/>
    <n v="3220"/>
    <n v="44070"/>
    <n v="0"/>
    <n v="0"/>
    <n v="63394"/>
    <n v="0"/>
    <n v="0"/>
    <n v="0"/>
    <n v="0"/>
    <n v="0"/>
    <n v="0"/>
    <m/>
    <m/>
    <m/>
    <m/>
    <m/>
    <m/>
    <m/>
    <m/>
    <m/>
    <m/>
    <m/>
    <m/>
  </r>
  <r>
    <x v="3"/>
    <s v="Palm Beach State College "/>
    <m/>
    <n v="136358"/>
    <x v="13"/>
    <n v="589314"/>
    <n v="559943"/>
    <n v="445876"/>
    <n v="174095"/>
    <n v="8260"/>
    <n v="5399"/>
    <n v="132182"/>
    <n v="0"/>
    <n v="2996"/>
    <n v="162739"/>
    <n v="216194"/>
    <n v="1516"/>
    <n v="0"/>
    <n v="0"/>
    <n v="0"/>
    <n v="0"/>
    <m/>
    <m/>
    <m/>
    <m/>
    <m/>
    <m/>
    <m/>
    <m/>
    <m/>
    <m/>
    <m/>
    <m/>
  </r>
  <r>
    <x v="3"/>
    <s v="Pasco-Hernando State College "/>
    <m/>
    <n v="136400"/>
    <x v="13"/>
    <n v="219296"/>
    <n v="212428"/>
    <n v="138852"/>
    <n v="64511"/>
    <n v="10845"/>
    <n v="5644"/>
    <n v="69599"/>
    <n v="0"/>
    <n v="0"/>
    <n v="107436"/>
    <n v="34837"/>
    <n v="0"/>
    <n v="0"/>
    <n v="0"/>
    <n v="0"/>
    <n v="0"/>
    <m/>
    <m/>
    <m/>
    <m/>
    <m/>
    <m/>
    <m/>
    <m/>
    <m/>
    <m/>
    <m/>
    <m/>
  </r>
  <r>
    <x v="3"/>
    <s v="Pensacola State College "/>
    <m/>
    <n v="136473"/>
    <x v="13"/>
    <n v="198132"/>
    <n v="186929"/>
    <n v="112721"/>
    <n v="58110"/>
    <n v="24669"/>
    <n v="19179"/>
    <n v="59969"/>
    <n v="773"/>
    <n v="0"/>
    <n v="67170"/>
    <n v="42470"/>
    <n v="0"/>
    <n v="0"/>
    <n v="0"/>
    <n v="0"/>
    <n v="0"/>
    <m/>
    <m/>
    <m/>
    <m/>
    <m/>
    <m/>
    <m/>
    <m/>
    <m/>
    <m/>
    <m/>
    <m/>
  </r>
  <r>
    <x v="3"/>
    <s v="Polk State College "/>
    <m/>
    <n v="136516"/>
    <x v="13"/>
    <n v="197321"/>
    <n v="190278"/>
    <n v="101429"/>
    <n v="48040"/>
    <n v="20662"/>
    <n v="13318"/>
    <n v="75230"/>
    <n v="0"/>
    <n v="0"/>
    <n v="128920"/>
    <n v="0"/>
    <n v="0"/>
    <n v="0"/>
    <n v="0"/>
    <n v="0"/>
    <n v="0"/>
    <m/>
    <m/>
    <m/>
    <m/>
    <m/>
    <m/>
    <m/>
    <m/>
    <m/>
    <m/>
    <m/>
    <m/>
  </r>
  <r>
    <x v="3"/>
    <s v="St. Johns River State College "/>
    <m/>
    <n v="137281"/>
    <x v="13"/>
    <n v="134813"/>
    <n v="133424"/>
    <n v="67999"/>
    <n v="33154"/>
    <n v="17669"/>
    <n v="13450"/>
    <n v="49004"/>
    <n v="141"/>
    <n v="0"/>
    <n v="86763"/>
    <n v="0"/>
    <n v="57"/>
    <n v="0"/>
    <n v="0"/>
    <n v="0"/>
    <n v="0"/>
    <m/>
    <m/>
    <m/>
    <m/>
    <m/>
    <m/>
    <m/>
    <m/>
    <m/>
    <m/>
    <m/>
    <m/>
  </r>
  <r>
    <x v="3"/>
    <s v="St. Petersburg College "/>
    <m/>
    <n v="137078"/>
    <x v="13"/>
    <n v="550463"/>
    <n v="522921"/>
    <n v="276401"/>
    <n v="150275"/>
    <n v="0"/>
    <n v="0"/>
    <n v="274062"/>
    <n v="0"/>
    <n v="0"/>
    <n v="308566"/>
    <n v="64080"/>
    <n v="0"/>
    <n v="0"/>
    <n v="0"/>
    <n v="0"/>
    <n v="0"/>
    <m/>
    <m/>
    <m/>
    <m/>
    <m/>
    <m/>
    <m/>
    <m/>
    <m/>
    <m/>
    <m/>
    <m/>
  </r>
  <r>
    <x v="3"/>
    <s v="Santa Fe College "/>
    <m/>
    <n v="137096"/>
    <x v="13"/>
    <n v="307780"/>
    <n v="289536"/>
    <n v="223246"/>
    <n v="158373"/>
    <n v="3703"/>
    <n v="3127"/>
    <n v="80831"/>
    <n v="0"/>
    <n v="0"/>
    <n v="128036"/>
    <n v="0"/>
    <n v="0"/>
    <n v="0"/>
    <n v="0"/>
    <n v="0"/>
    <n v="0"/>
    <m/>
    <m/>
    <m/>
    <m/>
    <m/>
    <m/>
    <m/>
    <m/>
    <m/>
    <m/>
    <m/>
    <m/>
  </r>
  <r>
    <x v="3"/>
    <s v="Seminole State College of Florida"/>
    <m/>
    <n v="137209"/>
    <x v="13"/>
    <n v="333440"/>
    <n v="332564"/>
    <n v="200378"/>
    <n v="115318"/>
    <n v="0"/>
    <n v="0"/>
    <n v="133062"/>
    <n v="0"/>
    <n v="0"/>
    <n v="182866"/>
    <n v="34380"/>
    <n v="0"/>
    <n v="0"/>
    <n v="0"/>
    <n v="0"/>
    <n v="0"/>
    <m/>
    <m/>
    <m/>
    <m/>
    <m/>
    <m/>
    <m/>
    <m/>
    <m/>
    <m/>
    <m/>
    <m/>
  </r>
  <r>
    <x v="3"/>
    <s v="South Florida State College "/>
    <m/>
    <n v="137315"/>
    <x v="13"/>
    <n v="47891"/>
    <n v="48170"/>
    <n v="23874"/>
    <n v="14983"/>
    <n v="9312"/>
    <n v="5571"/>
    <n v="14673"/>
    <n v="0"/>
    <n v="32"/>
    <n v="26529"/>
    <n v="1059"/>
    <n v="28"/>
    <n v="0"/>
    <n v="0"/>
    <n v="0"/>
    <n v="0"/>
    <m/>
    <m/>
    <m/>
    <m/>
    <m/>
    <m/>
    <m/>
    <m/>
    <m/>
    <m/>
    <m/>
    <m/>
  </r>
  <r>
    <x v="3"/>
    <s v="Tallahassee Community College "/>
    <s v="Met the criteria for Two-Year with Bachelor's in 2019-20. "/>
    <n v="137759"/>
    <x v="6"/>
    <n v="258952"/>
    <n v="252748"/>
    <n v="161103"/>
    <n v="78172"/>
    <n v="12346"/>
    <n v="16564"/>
    <n v="85503"/>
    <n v="0"/>
    <n v="0"/>
    <n v="158012"/>
    <n v="0"/>
    <n v="0"/>
    <n v="0"/>
    <n v="0"/>
    <n v="0"/>
    <n v="0"/>
    <m/>
    <m/>
    <m/>
    <m/>
    <m/>
    <m/>
    <m/>
    <m/>
    <m/>
    <m/>
    <m/>
    <m/>
  </r>
  <r>
    <x v="3"/>
    <s v="Valencia College "/>
    <m/>
    <n v="138187"/>
    <x v="13"/>
    <n v="983930"/>
    <n v="1027692"/>
    <n v="629921"/>
    <n v="258155"/>
    <n v="30164"/>
    <n v="23268"/>
    <n v="323845"/>
    <n v="0"/>
    <n v="0"/>
    <n v="746269"/>
    <n v="0"/>
    <n v="0"/>
    <n v="0"/>
    <n v="0"/>
    <n v="0"/>
    <n v="0"/>
    <m/>
    <m/>
    <m/>
    <m/>
    <m/>
    <m/>
    <m/>
    <m/>
    <m/>
    <m/>
    <m/>
    <m/>
  </r>
  <r>
    <x v="4"/>
    <s v="Georgia State University "/>
    <m/>
    <n v="139940"/>
    <x v="0"/>
    <n v="1151269"/>
    <n v="1166305"/>
    <n v="916908"/>
    <n v="488342"/>
    <n v="9589"/>
    <n v="5817"/>
    <n v="224772"/>
    <n v="0"/>
    <n v="0"/>
    <n v="672146"/>
    <n v="0"/>
    <n v="0"/>
    <n v="0"/>
    <n v="0"/>
    <n v="225566"/>
    <n v="221637"/>
    <n v="119738.5"/>
    <n v="73237.5"/>
    <n v="87822.5"/>
    <n v="52370.5"/>
    <n v="18005"/>
    <n v="0"/>
    <n v="0"/>
    <n v="96029"/>
    <n v="0"/>
    <n v="0"/>
    <n v="0"/>
    <n v="0"/>
  </r>
  <r>
    <x v="4"/>
    <s v="University of Georgia"/>
    <m/>
    <n v="139959"/>
    <x v="0"/>
    <n v="867177"/>
    <n v="869860.5"/>
    <n v="776197"/>
    <n v="671996.5"/>
    <n v="27861"/>
    <n v="12729"/>
    <n v="63119"/>
    <n v="0"/>
    <n v="0"/>
    <n v="185135"/>
    <n v="0"/>
    <n v="0"/>
    <n v="0"/>
    <n v="0"/>
    <n v="280577.2"/>
    <n v="288941.90000000002"/>
    <n v="224762.5"/>
    <n v="190625.5"/>
    <n v="38742.199999999997"/>
    <n v="31078.7"/>
    <n v="17072.5"/>
    <n v="0"/>
    <n v="0"/>
    <n v="67237.7"/>
    <n v="0"/>
    <n v="0"/>
    <n v="0"/>
    <n v="0"/>
  </r>
  <r>
    <x v="4"/>
    <s v="Georgia Institute of Technology"/>
    <m/>
    <n v="139755"/>
    <x v="1"/>
    <n v="456127.53"/>
    <n v="481969.97"/>
    <n v="429129.53"/>
    <n v="203891.97"/>
    <n v="15922"/>
    <n v="3590"/>
    <n v="11076"/>
    <n v="0"/>
    <n v="0"/>
    <n v="274488"/>
    <n v="0"/>
    <n v="0"/>
    <n v="0"/>
    <n v="0"/>
    <n v="375905.5"/>
    <n v="402738.5"/>
    <n v="248047.5"/>
    <n v="156332"/>
    <n v="3066"/>
    <n v="3073"/>
    <n v="124792"/>
    <n v="0"/>
    <n v="0"/>
    <n v="243333.5"/>
    <n v="0"/>
    <n v="0"/>
    <n v="0"/>
    <n v="0"/>
  </r>
  <r>
    <x v="4"/>
    <s v="Georgia Southern University"/>
    <s v="Met the criteria for Four-Year 2 in 2019-20."/>
    <n v="139931"/>
    <x v="2"/>
    <n v="646339"/>
    <n v="648421"/>
    <n v="514903"/>
    <n v="410871"/>
    <n v="4884"/>
    <n v="2423"/>
    <n v="126459"/>
    <n v="0"/>
    <n v="93"/>
    <n v="235048"/>
    <n v="0"/>
    <n v="79"/>
    <n v="0"/>
    <n v="0"/>
    <n v="61735"/>
    <n v="65013"/>
    <n v="25101"/>
    <n v="19852"/>
    <n v="717"/>
    <n v="422"/>
    <n v="35911"/>
    <n v="0"/>
    <n v="6"/>
    <n v="44739"/>
    <n v="0"/>
    <n v="0"/>
    <n v="0"/>
    <n v="0"/>
  </r>
  <r>
    <x v="4"/>
    <s v="Kennesaw State University"/>
    <s v="Met the criteria for Four-Year 2 in 2019-20."/>
    <n v="486840"/>
    <x v="2"/>
    <n v="897521"/>
    <n v="967518"/>
    <n v="597289"/>
    <n v="385574"/>
    <n v="950"/>
    <n v="84"/>
    <n v="299282"/>
    <n v="0"/>
    <n v="0"/>
    <n v="581860"/>
    <n v="0"/>
    <n v="0"/>
    <n v="0"/>
    <n v="0"/>
    <n v="56400.1"/>
    <n v="61855"/>
    <n v="21377"/>
    <n v="13647"/>
    <n v="37"/>
    <n v="6"/>
    <n v="34986.1"/>
    <n v="0"/>
    <n v="0"/>
    <n v="48202"/>
    <n v="0"/>
    <n v="0"/>
    <n v="0"/>
    <n v="0"/>
  </r>
  <r>
    <x v="4"/>
    <s v="University of West Georgia"/>
    <m/>
    <n v="141334"/>
    <x v="2"/>
    <n v="288395"/>
    <n v="280293"/>
    <n v="167150"/>
    <n v="127921"/>
    <n v="13775"/>
    <n v="11674"/>
    <n v="107470"/>
    <n v="0"/>
    <n v="0"/>
    <n v="140698"/>
    <n v="0"/>
    <n v="0"/>
    <n v="0"/>
    <n v="0"/>
    <n v="47340"/>
    <n v="52589"/>
    <n v="5526"/>
    <n v="4643"/>
    <n v="579"/>
    <n v="417"/>
    <n v="41235"/>
    <n v="0"/>
    <n v="0"/>
    <n v="47529"/>
    <n v="0"/>
    <n v="0"/>
    <n v="0"/>
    <n v="0"/>
  </r>
  <r>
    <x v="4"/>
    <s v="Valdosta State University "/>
    <m/>
    <n v="141264"/>
    <x v="2"/>
    <n v="233522"/>
    <n v="241920"/>
    <n v="175160"/>
    <n v="148717"/>
    <n v="1908"/>
    <n v="942"/>
    <n v="56051"/>
    <n v="403"/>
    <n v="0"/>
    <n v="91992"/>
    <n v="269"/>
    <n v="0"/>
    <n v="0"/>
    <n v="0"/>
    <n v="47024"/>
    <n v="48457"/>
    <n v="10589"/>
    <n v="8263"/>
    <n v="557"/>
    <n v="389"/>
    <n v="35851"/>
    <n v="27"/>
    <n v="0"/>
    <n v="39760"/>
    <n v="45"/>
    <n v="0"/>
    <n v="0"/>
    <n v="0"/>
  </r>
  <r>
    <x v="4"/>
    <s v="Albany State University "/>
    <m/>
    <n v="138716"/>
    <x v="3"/>
    <n v="151689"/>
    <n v="154957"/>
    <n v="101702"/>
    <n v="92255"/>
    <n v="2780"/>
    <n v="1819"/>
    <n v="46614"/>
    <n v="65"/>
    <n v="528"/>
    <n v="58301"/>
    <n v="2106"/>
    <n v="476"/>
    <n v="0"/>
    <n v="0"/>
    <n v="6300"/>
    <n v="7033"/>
    <n v="1864"/>
    <n v="1297"/>
    <n v="147"/>
    <n v="60"/>
    <n v="4283"/>
    <n v="0"/>
    <n v="6"/>
    <n v="5661"/>
    <n v="15"/>
    <n v="0"/>
    <n v="0"/>
    <n v="0"/>
  </r>
  <r>
    <x v="4"/>
    <s v="Augusta University"/>
    <m/>
    <n v="482149"/>
    <x v="3"/>
    <n v="151426"/>
    <n v="154709"/>
    <n v="125287"/>
    <n v="96932"/>
    <n v="1705"/>
    <n v="846"/>
    <n v="24410"/>
    <n v="0"/>
    <n v="24"/>
    <n v="56486"/>
    <n v="0"/>
    <n v="445"/>
    <n v="0"/>
    <n v="0"/>
    <n v="202899"/>
    <n v="208817"/>
    <n v="177366"/>
    <n v="151717"/>
    <n v="12624"/>
    <n v="12150"/>
    <n v="12909"/>
    <n v="0"/>
    <n v="0"/>
    <n v="44950"/>
    <n v="0"/>
    <n v="0"/>
    <n v="0"/>
    <n v="0"/>
  </r>
  <r>
    <x v="4"/>
    <s v="Clayton State University"/>
    <m/>
    <n v="139311"/>
    <x v="3"/>
    <n v="158345"/>
    <n v="156238"/>
    <n v="96135"/>
    <n v="46487"/>
    <n v="2187"/>
    <n v="179"/>
    <n v="60023"/>
    <n v="0"/>
    <n v="0"/>
    <n v="109572"/>
    <n v="0"/>
    <n v="0"/>
    <n v="0"/>
    <n v="0"/>
    <n v="8883"/>
    <n v="11396"/>
    <n v="3953"/>
    <n v="1542"/>
    <n v="103"/>
    <n v="76"/>
    <n v="4827"/>
    <n v="0"/>
    <n v="0"/>
    <n v="9778"/>
    <n v="0"/>
    <n v="0"/>
    <n v="0"/>
    <n v="0"/>
  </r>
  <r>
    <x v="4"/>
    <s v="Columbus State University"/>
    <s v="Met the criteria for Four-Year 3 in 2018-19 and 2019-20."/>
    <n v="139366"/>
    <x v="3"/>
    <n v="170962"/>
    <n v="174302"/>
    <n v="123461"/>
    <n v="92901"/>
    <n v="8298"/>
    <n v="6329"/>
    <n v="39203"/>
    <n v="0"/>
    <n v="0"/>
    <n v="75072"/>
    <n v="0"/>
    <n v="0"/>
    <n v="0"/>
    <n v="0"/>
    <n v="24713"/>
    <n v="24626"/>
    <n v="7588"/>
    <n v="5969"/>
    <n v="532"/>
    <n v="157"/>
    <n v="16593"/>
    <n v="0"/>
    <n v="0"/>
    <n v="18500"/>
    <n v="0"/>
    <n v="0"/>
    <n v="0"/>
    <n v="0"/>
  </r>
  <r>
    <x v="4"/>
    <s v="Fort Valley State University"/>
    <s v="Reclassified: Met the criteria for Four-Year 5 in 2018-19, 2019-20, and 2020-21."/>
    <n v="139719"/>
    <x v="4"/>
    <n v="68018"/>
    <n v="69838"/>
    <n v="55227"/>
    <n v="48955"/>
    <n v="120"/>
    <n v="195"/>
    <n v="11818"/>
    <n v="0"/>
    <n v="853"/>
    <n v="19532"/>
    <n v="0"/>
    <n v="1156"/>
    <n v="0"/>
    <n v="0"/>
    <n v="6372"/>
    <n v="5183"/>
    <n v="4783"/>
    <n v="2104"/>
    <n v="0"/>
    <n v="0"/>
    <n v="1537"/>
    <n v="0"/>
    <n v="52"/>
    <n v="3048"/>
    <n v="0"/>
    <n v="31"/>
    <n v="0"/>
    <n v="0"/>
  </r>
  <r>
    <x v="4"/>
    <s v="Georgia College and State University"/>
    <m/>
    <n v="139861"/>
    <x v="3"/>
    <n v="177097"/>
    <n v="169162"/>
    <n v="157960"/>
    <n v="132573"/>
    <n v="1908"/>
    <n v="1604"/>
    <n v="17229"/>
    <n v="0"/>
    <n v="0"/>
    <n v="34985"/>
    <n v="0"/>
    <n v="0"/>
    <n v="0"/>
    <n v="0"/>
    <n v="23185"/>
    <n v="25707"/>
    <n v="3466"/>
    <n v="2838"/>
    <n v="384"/>
    <n v="158"/>
    <n v="19335"/>
    <n v="0"/>
    <n v="0"/>
    <n v="22711"/>
    <n v="0"/>
    <n v="0"/>
    <n v="0"/>
    <n v="0"/>
  </r>
  <r>
    <x v="4"/>
    <s v="Georgia Southwestern State University"/>
    <s v="Met the criteria for Four-Year 5 in 2019-20."/>
    <n v="139764"/>
    <x v="3"/>
    <n v="63291"/>
    <n v="63318"/>
    <n v="39185"/>
    <n v="34388"/>
    <n v="1327"/>
    <n v="1620"/>
    <n v="22779"/>
    <n v="0"/>
    <n v="0"/>
    <n v="27310"/>
    <n v="0"/>
    <n v="0"/>
    <n v="0"/>
    <n v="0"/>
    <n v="10484"/>
    <n v="11513"/>
    <n v="4230"/>
    <n v="2651"/>
    <n v="234"/>
    <n v="0"/>
    <n v="6020"/>
    <n v="0"/>
    <n v="0"/>
    <n v="8862"/>
    <n v="0"/>
    <n v="0"/>
    <n v="0"/>
    <n v="0"/>
  </r>
  <r>
    <x v="4"/>
    <s v="University of North Georgia"/>
    <m/>
    <n v="482680"/>
    <x v="3"/>
    <n v="463050"/>
    <n v="466916"/>
    <n v="384108"/>
    <n v="299935"/>
    <n v="8254"/>
    <n v="4923"/>
    <n v="70688"/>
    <n v="0"/>
    <n v="0"/>
    <n v="162058"/>
    <n v="0"/>
    <n v="0"/>
    <n v="0"/>
    <n v="0"/>
    <n v="14938"/>
    <n v="15946"/>
    <n v="8145"/>
    <n v="5744"/>
    <n v="927"/>
    <n v="545"/>
    <n v="5866"/>
    <n v="0"/>
    <n v="0"/>
    <n v="9657"/>
    <n v="0"/>
    <n v="0"/>
    <n v="0"/>
    <n v="0"/>
  </r>
  <r>
    <x v="4"/>
    <s v="Savannah State University"/>
    <s v="Met the criteria for Four-Year 4 in 2020-21."/>
    <n v="140960"/>
    <x v="4"/>
    <n v="103628"/>
    <n v="93227"/>
    <n v="83331"/>
    <n v="57189"/>
    <n v="216"/>
    <n v="297"/>
    <n v="20081"/>
    <n v="0"/>
    <n v="0"/>
    <n v="35741"/>
    <n v="0"/>
    <n v="0"/>
    <n v="0"/>
    <n v="0"/>
    <n v="3681"/>
    <n v="4540"/>
    <n v="1569"/>
    <n v="1720"/>
    <n v="1404"/>
    <n v="1632"/>
    <n v="708"/>
    <n v="0"/>
    <n v="0"/>
    <n v="1188"/>
    <n v="0"/>
    <n v="0"/>
    <n v="0"/>
    <n v="0"/>
  </r>
  <r>
    <x v="4"/>
    <s v="Abraham Baldwin Agricultural College "/>
    <m/>
    <n v="138558"/>
    <x v="5"/>
    <n v="97639"/>
    <n v="93270"/>
    <n v="81705"/>
    <n v="55600"/>
    <n v="3508"/>
    <n v="4287"/>
    <n v="12426"/>
    <n v="0"/>
    <n v="0"/>
    <n v="33383"/>
    <n v="0"/>
    <n v="0"/>
    <n v="0"/>
    <n v="0"/>
    <n v="0"/>
    <n v="0"/>
    <m/>
    <m/>
    <m/>
    <m/>
    <m/>
    <m/>
    <m/>
    <m/>
    <m/>
    <m/>
    <m/>
    <m/>
  </r>
  <r>
    <x v="4"/>
    <s v="College of Coastal Georgia "/>
    <m/>
    <n v="139250"/>
    <x v="5"/>
    <n v="83041"/>
    <n v="81564"/>
    <n v="59017"/>
    <n v="35795"/>
    <n v="928"/>
    <n v="194"/>
    <n v="23096"/>
    <n v="0"/>
    <n v="0"/>
    <n v="45575"/>
    <n v="0"/>
    <n v="0"/>
    <n v="0"/>
    <n v="0"/>
    <n v="0"/>
    <n v="0"/>
    <m/>
    <m/>
    <m/>
    <m/>
    <m/>
    <m/>
    <m/>
    <m/>
    <m/>
    <m/>
    <m/>
    <m/>
  </r>
  <r>
    <x v="4"/>
    <s v="Dalton State College "/>
    <m/>
    <n v="139463"/>
    <x v="5"/>
    <n v="118623"/>
    <n v="114613"/>
    <n v="97495"/>
    <n v="76526"/>
    <n v="4950"/>
    <n v="3399"/>
    <n v="16178"/>
    <n v="0"/>
    <n v="0"/>
    <n v="34688"/>
    <n v="0"/>
    <n v="0"/>
    <n v="0"/>
    <n v="0"/>
    <n v="0"/>
    <n v="0"/>
    <m/>
    <m/>
    <m/>
    <m/>
    <m/>
    <m/>
    <m/>
    <m/>
    <m/>
    <m/>
    <m/>
    <m/>
  </r>
  <r>
    <x v="4"/>
    <s v="Georgia Gwinnett College"/>
    <m/>
    <n v="447689"/>
    <x v="5"/>
    <n v="312109"/>
    <n v="304852"/>
    <n v="302651"/>
    <n v="202618"/>
    <n v="801"/>
    <n v="601"/>
    <n v="8657"/>
    <n v="0"/>
    <n v="0"/>
    <n v="101633"/>
    <n v="0"/>
    <n v="0"/>
    <n v="0"/>
    <n v="0"/>
    <n v="0"/>
    <n v="0"/>
    <m/>
    <m/>
    <m/>
    <m/>
    <m/>
    <m/>
    <m/>
    <m/>
    <m/>
    <m/>
    <m/>
    <m/>
  </r>
  <r>
    <x v="4"/>
    <s v="Gordon State College "/>
    <m/>
    <n v="139968"/>
    <x v="5"/>
    <n v="83361"/>
    <n v="77635"/>
    <n v="57363"/>
    <n v="39797"/>
    <n v="6791"/>
    <n v="3807"/>
    <n v="19207"/>
    <n v="0"/>
    <n v="0"/>
    <n v="34031"/>
    <n v="0"/>
    <n v="0"/>
    <n v="0"/>
    <n v="0"/>
    <n v="0"/>
    <n v="0"/>
    <m/>
    <m/>
    <m/>
    <m/>
    <m/>
    <m/>
    <m/>
    <m/>
    <m/>
    <m/>
    <m/>
    <m/>
  </r>
  <r>
    <x v="4"/>
    <s v="Middle Georgia State College"/>
    <s v="Reclassified: Met the criteria for Four-Year 5 in 2018-19, 2019-20, and 2020-21."/>
    <n v="482158"/>
    <x v="4"/>
    <n v="185924"/>
    <n v="195133"/>
    <n v="105465"/>
    <n v="82704"/>
    <n v="1453"/>
    <n v="1060"/>
    <n v="77984"/>
    <n v="1022"/>
    <n v="0"/>
    <n v="110635"/>
    <n v="734"/>
    <n v="0"/>
    <n v="0"/>
    <n v="0"/>
    <n v="4734"/>
    <n v="6440"/>
    <n v="141"/>
    <n v="0"/>
    <n v="120"/>
    <n v="0"/>
    <n v="4473"/>
    <n v="0"/>
    <n v="0"/>
    <n v="6440"/>
    <n v="0"/>
    <n v="0"/>
    <n v="0"/>
    <n v="0"/>
  </r>
  <r>
    <x v="4"/>
    <s v="Atlanta Metropolitan State College"/>
    <m/>
    <n v="138901"/>
    <x v="13"/>
    <n v="44035"/>
    <n v="38213"/>
    <n v="29646"/>
    <n v="17716"/>
    <n v="2469"/>
    <n v="1231"/>
    <n v="11920"/>
    <n v="0"/>
    <n v="0"/>
    <n v="19266"/>
    <n v="0"/>
    <n v="0"/>
    <n v="0"/>
    <n v="0"/>
    <n v="0"/>
    <n v="0"/>
    <m/>
    <m/>
    <m/>
    <m/>
    <m/>
    <m/>
    <m/>
    <m/>
    <m/>
    <m/>
    <m/>
    <m/>
  </r>
  <r>
    <x v="4"/>
    <s v="East Georgia State College"/>
    <m/>
    <n v="139621"/>
    <x v="13"/>
    <n v="66138"/>
    <n v="57702"/>
    <n v="33961"/>
    <n v="25476"/>
    <n v="9920"/>
    <n v="5442"/>
    <n v="22257"/>
    <n v="0"/>
    <n v="0"/>
    <n v="26784"/>
    <n v="0"/>
    <n v="0"/>
    <n v="0"/>
    <n v="0"/>
    <n v="0"/>
    <n v="0"/>
    <m/>
    <m/>
    <m/>
    <m/>
    <m/>
    <m/>
    <m/>
    <m/>
    <m/>
    <m/>
    <m/>
    <m/>
  </r>
  <r>
    <x v="4"/>
    <s v="Georgia Highlands College"/>
    <m/>
    <n v="139700"/>
    <x v="13"/>
    <n v="132863"/>
    <n v="126890"/>
    <n v="75119"/>
    <n v="43460"/>
    <n v="22988"/>
    <n v="13014"/>
    <n v="34756"/>
    <n v="0"/>
    <n v="0"/>
    <n v="70416"/>
    <n v="0"/>
    <n v="0"/>
    <n v="0"/>
    <n v="0"/>
    <n v="0"/>
    <n v="0"/>
    <m/>
    <m/>
    <m/>
    <m/>
    <m/>
    <m/>
    <m/>
    <m/>
    <m/>
    <m/>
    <m/>
    <m/>
  </r>
  <r>
    <x v="4"/>
    <s v="South Georgia State College"/>
    <m/>
    <n v="482699"/>
    <x v="13"/>
    <n v="59744"/>
    <n v="54128"/>
    <n v="20148"/>
    <n v="14937"/>
    <n v="20109"/>
    <n v="11023"/>
    <n v="19487"/>
    <n v="0"/>
    <n v="0"/>
    <n v="28168"/>
    <n v="0"/>
    <n v="0"/>
    <n v="0"/>
    <n v="0"/>
    <n v="0"/>
    <n v="0"/>
    <m/>
    <m/>
    <m/>
    <m/>
    <m/>
    <m/>
    <m/>
    <m/>
    <m/>
    <m/>
    <m/>
    <m/>
  </r>
  <r>
    <x v="4"/>
    <s v="Albany Technical College"/>
    <m/>
    <n v="138682"/>
    <x v="9"/>
    <n v="76635"/>
    <n v="70764"/>
    <n v="29840"/>
    <n v="15721"/>
    <m/>
    <m/>
    <n v="46795"/>
    <n v="0"/>
    <n v="0"/>
    <n v="55043"/>
    <n v="0"/>
    <n v="0"/>
    <m/>
    <m/>
    <n v="0"/>
    <n v="0"/>
    <m/>
    <m/>
    <m/>
    <m/>
    <m/>
    <m/>
    <m/>
    <m/>
    <m/>
    <m/>
    <m/>
    <m/>
  </r>
  <r>
    <x v="4"/>
    <s v="Athens Technical College"/>
    <m/>
    <n v="246813"/>
    <x v="9"/>
    <n v="86294"/>
    <n v="79083"/>
    <n v="64114"/>
    <n v="49830"/>
    <m/>
    <m/>
    <n v="22090"/>
    <n v="90"/>
    <n v="0"/>
    <n v="29157"/>
    <n v="96"/>
    <n v="0"/>
    <m/>
    <m/>
    <n v="0"/>
    <n v="0"/>
    <m/>
    <m/>
    <m/>
    <m/>
    <m/>
    <m/>
    <m/>
    <m/>
    <m/>
    <m/>
    <m/>
    <m/>
  </r>
  <r>
    <x v="4"/>
    <s v="Atlanta Technical College"/>
    <m/>
    <n v="138840"/>
    <x v="9"/>
    <n v="87610"/>
    <n v="79903"/>
    <n v="46838"/>
    <n v="23300"/>
    <m/>
    <m/>
    <n v="40772"/>
    <n v="0"/>
    <n v="0"/>
    <n v="56603"/>
    <n v="0"/>
    <n v="0"/>
    <m/>
    <m/>
    <n v="0"/>
    <n v="0"/>
    <m/>
    <m/>
    <m/>
    <m/>
    <m/>
    <m/>
    <m/>
    <m/>
    <m/>
    <m/>
    <m/>
    <m/>
  </r>
  <r>
    <x v="4"/>
    <s v="Augusta Technical College"/>
    <m/>
    <n v="138956"/>
    <x v="9"/>
    <n v="96226"/>
    <n v="88306"/>
    <n v="85399"/>
    <n v="52601"/>
    <m/>
    <m/>
    <n v="10827"/>
    <n v="0"/>
    <n v="0"/>
    <n v="35705"/>
    <n v="0"/>
    <n v="0"/>
    <m/>
    <m/>
    <n v="0"/>
    <n v="0"/>
    <m/>
    <m/>
    <m/>
    <m/>
    <m/>
    <m/>
    <m/>
    <m/>
    <m/>
    <m/>
    <m/>
    <m/>
  </r>
  <r>
    <x v="4"/>
    <s v="Central Georgia Technical College"/>
    <m/>
    <n v="483045"/>
    <x v="9"/>
    <n v="167560"/>
    <n v="154039"/>
    <n v="87705"/>
    <n v="58626"/>
    <m/>
    <m/>
    <n v="68479"/>
    <n v="11376"/>
    <n v="0"/>
    <n v="89435"/>
    <n v="5978"/>
    <n v="0"/>
    <m/>
    <m/>
    <n v="0"/>
    <n v="0"/>
    <m/>
    <m/>
    <m/>
    <m/>
    <m/>
    <m/>
    <m/>
    <m/>
    <m/>
    <m/>
    <m/>
    <m/>
  </r>
  <r>
    <x v="4"/>
    <s v="Chattahoochee Technical College"/>
    <m/>
    <n v="140331"/>
    <x v="9"/>
    <n v="193364"/>
    <n v="190974"/>
    <n v="93964"/>
    <n v="78547"/>
    <m/>
    <m/>
    <n v="99400"/>
    <n v="0"/>
    <n v="0"/>
    <n v="112427"/>
    <n v="0"/>
    <n v="0"/>
    <m/>
    <m/>
    <n v="0"/>
    <n v="0"/>
    <m/>
    <m/>
    <m/>
    <m/>
    <m/>
    <m/>
    <m/>
    <m/>
    <m/>
    <m/>
    <m/>
    <m/>
  </r>
  <r>
    <x v="4"/>
    <s v="Coastal Pines Technical College"/>
    <m/>
    <n v="485458"/>
    <x v="9"/>
    <n v="72138"/>
    <n v="68682"/>
    <n v="53702"/>
    <n v="42827"/>
    <m/>
    <m/>
    <n v="18436"/>
    <n v="0"/>
    <n v="0"/>
    <n v="25855"/>
    <n v="0"/>
    <n v="0"/>
    <m/>
    <m/>
    <n v="0"/>
    <n v="0"/>
    <m/>
    <m/>
    <m/>
    <m/>
    <m/>
    <m/>
    <m/>
    <m/>
    <m/>
    <m/>
    <m/>
    <m/>
  </r>
  <r>
    <x v="4"/>
    <s v="Columbus Technical College"/>
    <m/>
    <n v="139357"/>
    <x v="9"/>
    <n v="73251.899999999994"/>
    <n v="68493"/>
    <n v="48299.4"/>
    <n v="29965"/>
    <m/>
    <m/>
    <n v="24952.5"/>
    <n v="0"/>
    <n v="0"/>
    <n v="38528"/>
    <n v="0"/>
    <n v="0"/>
    <m/>
    <m/>
    <n v="0"/>
    <n v="0"/>
    <m/>
    <m/>
    <m/>
    <m/>
    <m/>
    <m/>
    <m/>
    <m/>
    <m/>
    <m/>
    <m/>
    <m/>
  </r>
  <r>
    <x v="4"/>
    <s v="Georgia Northwestern Technical College"/>
    <m/>
    <n v="139384"/>
    <x v="9"/>
    <n v="119951"/>
    <n v="127340"/>
    <n v="68172"/>
    <n v="54615"/>
    <m/>
    <m/>
    <n v="51779"/>
    <n v="0"/>
    <n v="0"/>
    <n v="72725"/>
    <n v="0"/>
    <n v="0"/>
    <m/>
    <m/>
    <n v="0"/>
    <n v="0"/>
    <m/>
    <m/>
    <m/>
    <m/>
    <m/>
    <m/>
    <m/>
    <m/>
    <m/>
    <m/>
    <m/>
    <m/>
  </r>
  <r>
    <x v="4"/>
    <s v="Georgia Piedmont Technical College"/>
    <m/>
    <n v="244446"/>
    <x v="9"/>
    <n v="69469.5"/>
    <n v="60917.5"/>
    <n v="19528.5"/>
    <n v="13811.5"/>
    <m/>
    <m/>
    <n v="49941"/>
    <n v="0"/>
    <n v="0"/>
    <n v="47106"/>
    <n v="0"/>
    <n v="0"/>
    <m/>
    <m/>
    <n v="0"/>
    <n v="0"/>
    <m/>
    <m/>
    <m/>
    <m/>
    <m/>
    <m/>
    <m/>
    <m/>
    <m/>
    <m/>
    <m/>
    <m/>
  </r>
  <r>
    <x v="4"/>
    <s v="Gwinnett Technical College"/>
    <m/>
    <n v="140012"/>
    <x v="9"/>
    <n v="172091"/>
    <n v="166649"/>
    <n v="94293"/>
    <n v="60654"/>
    <m/>
    <m/>
    <n v="77798"/>
    <n v="0"/>
    <n v="0"/>
    <n v="105995"/>
    <n v="0"/>
    <n v="0"/>
    <m/>
    <m/>
    <n v="0"/>
    <n v="0"/>
    <m/>
    <m/>
    <m/>
    <m/>
    <m/>
    <m/>
    <m/>
    <m/>
    <m/>
    <m/>
    <m/>
    <m/>
  </r>
  <r>
    <x v="4"/>
    <s v="Lanier Technical College"/>
    <m/>
    <n v="140243"/>
    <x v="9"/>
    <n v="85664"/>
    <n v="93162"/>
    <n v="63039"/>
    <n v="45623"/>
    <m/>
    <m/>
    <n v="22625"/>
    <n v="0"/>
    <n v="0"/>
    <n v="35035"/>
    <n v="12504"/>
    <n v="0"/>
    <m/>
    <m/>
    <n v="0"/>
    <n v="0"/>
    <m/>
    <m/>
    <m/>
    <m/>
    <m/>
    <m/>
    <m/>
    <m/>
    <m/>
    <m/>
    <m/>
    <m/>
  </r>
  <r>
    <x v="4"/>
    <s v="North Georgia Technical College"/>
    <m/>
    <n v="140678"/>
    <x v="9"/>
    <n v="54959"/>
    <n v="54981"/>
    <n v="36405"/>
    <n v="26241"/>
    <m/>
    <m/>
    <n v="18554"/>
    <n v="0"/>
    <n v="0"/>
    <n v="28740"/>
    <n v="0"/>
    <n v="0"/>
    <m/>
    <m/>
    <n v="0"/>
    <n v="0"/>
    <m/>
    <m/>
    <m/>
    <m/>
    <m/>
    <m/>
    <m/>
    <m/>
    <m/>
    <m/>
    <m/>
    <m/>
  </r>
  <r>
    <x v="4"/>
    <s v="Oconee Fall Line Technical College"/>
    <m/>
    <n v="420431"/>
    <x v="9"/>
    <n v="34423"/>
    <n v="35860"/>
    <n v="21789"/>
    <n v="16873"/>
    <m/>
    <m/>
    <n v="12634"/>
    <n v="0"/>
    <n v="0"/>
    <n v="18987"/>
    <n v="0"/>
    <n v="0"/>
    <m/>
    <m/>
    <n v="0"/>
    <n v="0"/>
    <m/>
    <m/>
    <m/>
    <m/>
    <m/>
    <m/>
    <m/>
    <m/>
    <m/>
    <m/>
    <m/>
    <m/>
  </r>
  <r>
    <x v="4"/>
    <s v="Ogeechee Technical College"/>
    <m/>
    <n v="366465"/>
    <x v="9"/>
    <n v="50133"/>
    <n v="49479"/>
    <n v="30877"/>
    <n v="24546"/>
    <m/>
    <m/>
    <n v="19256"/>
    <n v="0"/>
    <n v="0"/>
    <n v="24933"/>
    <n v="0"/>
    <n v="0"/>
    <m/>
    <m/>
    <n v="0"/>
    <n v="0"/>
    <m/>
    <m/>
    <m/>
    <m/>
    <m/>
    <m/>
    <m/>
    <m/>
    <m/>
    <m/>
    <m/>
    <m/>
  </r>
  <r>
    <x v="4"/>
    <s v="Savannah Technical College"/>
    <m/>
    <n v="140942"/>
    <x v="9"/>
    <n v="87500"/>
    <n v="84927"/>
    <n v="64669"/>
    <n v="40608"/>
    <m/>
    <m/>
    <n v="22831"/>
    <n v="0"/>
    <n v="0"/>
    <n v="44319"/>
    <n v="0"/>
    <n v="0"/>
    <m/>
    <m/>
    <n v="0"/>
    <n v="0"/>
    <m/>
    <m/>
    <m/>
    <m/>
    <m/>
    <m/>
    <m/>
    <m/>
    <m/>
    <m/>
    <m/>
    <m/>
  </r>
  <r>
    <x v="4"/>
    <s v="South Georgia Technical College"/>
    <m/>
    <n v="141006"/>
    <x v="9"/>
    <n v="51913"/>
    <n v="45944"/>
    <n v="38957"/>
    <n v="28498"/>
    <m/>
    <m/>
    <n v="12956"/>
    <n v="0"/>
    <n v="0"/>
    <n v="17446"/>
    <n v="0"/>
    <n v="0"/>
    <m/>
    <m/>
    <n v="0"/>
    <n v="0"/>
    <m/>
    <m/>
    <m/>
    <m/>
    <m/>
    <m/>
    <m/>
    <m/>
    <m/>
    <m/>
    <m/>
    <m/>
  </r>
  <r>
    <x v="4"/>
    <s v="Southeastern Technical College"/>
    <m/>
    <n v="368911"/>
    <x v="9"/>
    <n v="36529"/>
    <n v="32375"/>
    <n v="25145"/>
    <n v="15426"/>
    <m/>
    <m/>
    <n v="11384"/>
    <n v="0"/>
    <n v="0"/>
    <n v="16949"/>
    <n v="0"/>
    <n v="0"/>
    <m/>
    <m/>
    <n v="0"/>
    <n v="0"/>
    <m/>
    <m/>
    <m/>
    <m/>
    <m/>
    <m/>
    <m/>
    <m/>
    <m/>
    <m/>
    <m/>
    <m/>
  </r>
  <r>
    <x v="4"/>
    <s v="Southern Crescent Technical College"/>
    <m/>
    <n v="139986"/>
    <x v="9"/>
    <n v="104938"/>
    <n v="107717"/>
    <n v="64948"/>
    <n v="48237"/>
    <m/>
    <m/>
    <n v="39747"/>
    <n v="243"/>
    <n v="0"/>
    <n v="59351"/>
    <n v="129"/>
    <n v="0"/>
    <m/>
    <m/>
    <n v="0"/>
    <n v="0"/>
    <m/>
    <m/>
    <m/>
    <m/>
    <m/>
    <m/>
    <m/>
    <m/>
    <m/>
    <m/>
    <m/>
    <m/>
  </r>
  <r>
    <x v="4"/>
    <s v="Southern Regional Technical College"/>
    <m/>
    <n v="487162"/>
    <x v="9"/>
    <n v="99205"/>
    <n v="94284"/>
    <n v="65428"/>
    <n v="47517"/>
    <m/>
    <m/>
    <n v="33777"/>
    <n v="0"/>
    <n v="0"/>
    <n v="46767"/>
    <n v="0"/>
    <n v="0"/>
    <m/>
    <m/>
    <n v="0"/>
    <n v="0"/>
    <m/>
    <m/>
    <m/>
    <m/>
    <m/>
    <m/>
    <m/>
    <m/>
    <m/>
    <m/>
    <m/>
    <m/>
  </r>
  <r>
    <x v="4"/>
    <s v="West Georgia Technical College"/>
    <m/>
    <n v="139278"/>
    <x v="9"/>
    <n v="134690"/>
    <n v="127899"/>
    <n v="79156"/>
    <n v="47860"/>
    <m/>
    <m/>
    <n v="55534"/>
    <n v="0"/>
    <n v="0"/>
    <n v="80039"/>
    <n v="0"/>
    <n v="0"/>
    <m/>
    <m/>
    <n v="0"/>
    <n v="0"/>
    <m/>
    <m/>
    <m/>
    <m/>
    <m/>
    <m/>
    <m/>
    <m/>
    <m/>
    <m/>
    <m/>
    <m/>
  </r>
  <r>
    <x v="4"/>
    <s v="Wiregrass Georgia Technical College"/>
    <m/>
    <n v="141255"/>
    <x v="9"/>
    <n v="84293"/>
    <n v="74592"/>
    <n v="67418"/>
    <n v="44087"/>
    <m/>
    <m/>
    <n v="16875"/>
    <n v="0"/>
    <n v="0"/>
    <n v="30505"/>
    <n v="0"/>
    <n v="0"/>
    <m/>
    <m/>
    <n v="0"/>
    <n v="0"/>
    <m/>
    <m/>
    <m/>
    <m/>
    <m/>
    <m/>
    <m/>
    <m/>
    <m/>
    <m/>
    <m/>
    <m/>
  </r>
  <r>
    <x v="5"/>
    <s v="University of Kentucky"/>
    <m/>
    <n v="157085"/>
    <x v="0"/>
    <n v="661709"/>
    <n v="605707"/>
    <n v="589799"/>
    <n v="358834"/>
    <n v="7624"/>
    <n v="5601"/>
    <n v="62707"/>
    <n v="303"/>
    <n v="1276"/>
    <n v="240091"/>
    <n v="594"/>
    <n v="587"/>
    <m/>
    <m/>
    <n v="84529"/>
    <n v="84573"/>
    <n v="59942"/>
    <n v="42374"/>
    <n v="284"/>
    <n v="186"/>
    <n v="22967"/>
    <n v="668"/>
    <n v="668"/>
    <n v="41528"/>
    <m/>
    <n v="485"/>
    <m/>
    <m/>
  </r>
  <r>
    <x v="5"/>
    <s v="University of Louisville"/>
    <m/>
    <n v="157289"/>
    <x v="0"/>
    <n v="385705"/>
    <n v="390671"/>
    <n v="312187"/>
    <n v="227237"/>
    <n v="13722"/>
    <n v="13963"/>
    <n v="59796"/>
    <m/>
    <m/>
    <n v="149471"/>
    <m/>
    <m/>
    <m/>
    <m/>
    <n v="78224"/>
    <n v="84945"/>
    <n v="51454.5"/>
    <n v="36331"/>
    <n v="6149"/>
    <n v="2726"/>
    <n v="20620.5"/>
    <m/>
    <m/>
    <n v="45888"/>
    <m/>
    <m/>
    <m/>
    <m/>
  </r>
  <r>
    <x v="5"/>
    <s v="Eastern Kentucky University "/>
    <m/>
    <n v="156620"/>
    <x v="2"/>
    <n v="360719"/>
    <n v="341191"/>
    <n v="265793"/>
    <n v="227868"/>
    <n v="12460"/>
    <n v="9944"/>
    <n v="77567"/>
    <n v="4899"/>
    <m/>
    <n v="98885"/>
    <n v="4494"/>
    <m/>
    <m/>
    <m/>
    <n v="40190"/>
    <n v="40419"/>
    <n v="14008.5"/>
    <n v="12124"/>
    <n v="1530.5"/>
    <n v="1714"/>
    <n v="24648"/>
    <n v="3"/>
    <m/>
    <n v="26581"/>
    <m/>
    <m/>
    <m/>
    <m/>
  </r>
  <r>
    <x v="5"/>
    <s v="Morehead State University "/>
    <m/>
    <n v="157386"/>
    <x v="2"/>
    <n v="191768"/>
    <n v="186501"/>
    <n v="112435"/>
    <n v="88171"/>
    <n v="26333"/>
    <n v="26137"/>
    <n v="48273"/>
    <n v="4727"/>
    <m/>
    <n v="67873"/>
    <n v="4320"/>
    <m/>
    <m/>
    <m/>
    <n v="11765"/>
    <n v="11018"/>
    <n v="1161"/>
    <n v="1071"/>
    <n v="564"/>
    <n v="221"/>
    <n v="9986"/>
    <n v="54"/>
    <m/>
    <n v="9726"/>
    <m/>
    <m/>
    <m/>
    <m/>
  </r>
  <r>
    <x v="5"/>
    <s v="Murray State University "/>
    <m/>
    <n v="157401"/>
    <x v="2"/>
    <n v="206180"/>
    <n v="205124"/>
    <n v="156228"/>
    <n v="130953"/>
    <n v="10668"/>
    <n v="28030"/>
    <n v="32320"/>
    <n v="6964"/>
    <m/>
    <n v="41460"/>
    <n v="4681"/>
    <m/>
    <m/>
    <m/>
    <n v="20929"/>
    <n v="23083"/>
    <n v="9651"/>
    <n v="7647"/>
    <n v="2553"/>
    <n v="3799"/>
    <n v="8494"/>
    <n v="231"/>
    <m/>
    <n v="11517"/>
    <n v="120"/>
    <m/>
    <m/>
    <m/>
  </r>
  <r>
    <x v="5"/>
    <s v="Northern Kentucky University "/>
    <m/>
    <n v="157447"/>
    <x v="2"/>
    <n v="329083"/>
    <n v="314526"/>
    <n v="230806"/>
    <n v="146001"/>
    <n v="15650"/>
    <n v="15980"/>
    <n v="82530"/>
    <n v="97"/>
    <m/>
    <n v="152515"/>
    <n v="30"/>
    <m/>
    <m/>
    <m/>
    <n v="60785"/>
    <n v="76260"/>
    <n v="23147.5"/>
    <n v="14149"/>
    <n v="359"/>
    <n v="111"/>
    <n v="37278.5"/>
    <m/>
    <m/>
    <n v="62000"/>
    <m/>
    <m/>
    <m/>
    <m/>
  </r>
  <r>
    <x v="5"/>
    <s v="Western Kentucky University "/>
    <m/>
    <n v="157951"/>
    <x v="2"/>
    <n v="398558.5"/>
    <n v="381158"/>
    <n v="297097.5"/>
    <n v="224066"/>
    <n v="20545"/>
    <n v="14394"/>
    <n v="76520"/>
    <n v="4287"/>
    <n v="109"/>
    <n v="140832"/>
    <n v="1767"/>
    <n v="99"/>
    <m/>
    <m/>
    <n v="34742.5"/>
    <n v="34584"/>
    <n v="13219"/>
    <n v="9762"/>
    <n v="1038"/>
    <n v="888"/>
    <n v="20392.5"/>
    <n v="63"/>
    <n v="30"/>
    <n v="23901"/>
    <n v="30"/>
    <n v="3"/>
    <m/>
    <m/>
  </r>
  <r>
    <x v="5"/>
    <s v="Kentucky State University "/>
    <s v="Met the criteria for Four-Year 6 in 2020-21."/>
    <n v="157058"/>
    <x v="3"/>
    <n v="44950.5"/>
    <n v="51840"/>
    <n v="29106.5"/>
    <n v="32989"/>
    <m/>
    <n v="60"/>
    <n v="15842"/>
    <n v="2"/>
    <m/>
    <n v="18791"/>
    <m/>
    <m/>
    <m/>
    <m/>
    <n v="1714.5"/>
    <n v="1914"/>
    <n v="1243.5"/>
    <n v="1095"/>
    <m/>
    <m/>
    <n v="471"/>
    <m/>
    <m/>
    <n v="819"/>
    <m/>
    <m/>
    <m/>
    <m/>
  </r>
  <r>
    <x v="5"/>
    <s v="Bluegrass Community and Technical College"/>
    <s v="Changed # from 157173 to 156392"/>
    <n v="156392"/>
    <x v="6"/>
    <n v="195501.72"/>
    <n v="201997"/>
    <n v="113270.72"/>
    <n v="94108"/>
    <n v="6256"/>
    <n v="7729"/>
    <n v="75975"/>
    <m/>
    <m/>
    <n v="100160"/>
    <m/>
    <m/>
    <m/>
    <m/>
    <n v="0"/>
    <n v="0"/>
    <m/>
    <m/>
    <m/>
    <m/>
    <m/>
    <m/>
    <m/>
    <m/>
    <m/>
    <m/>
    <m/>
    <m/>
  </r>
  <r>
    <x v="5"/>
    <s v="Jefferson Community and Technical College "/>
    <m/>
    <n v="156921"/>
    <x v="6"/>
    <n v="192028.3"/>
    <n v="188787"/>
    <n v="114809.3"/>
    <n v="88013"/>
    <n v="15862"/>
    <n v="18555"/>
    <n v="61357"/>
    <m/>
    <m/>
    <n v="82219"/>
    <m/>
    <m/>
    <m/>
    <m/>
    <n v="0"/>
    <n v="0"/>
    <m/>
    <m/>
    <m/>
    <m/>
    <m/>
    <m/>
    <m/>
    <m/>
    <m/>
    <m/>
    <m/>
    <m/>
  </r>
  <r>
    <x v="5"/>
    <s v="Big Sandy Community and Technical College "/>
    <s v="Met the criteria for Two-Year 3 in 2019-20 and 2020-21."/>
    <n v="157553"/>
    <x v="7"/>
    <n v="59334.3"/>
    <n v="53472"/>
    <n v="24487.3"/>
    <n v="20351"/>
    <n v="337"/>
    <n v="234"/>
    <n v="34510"/>
    <m/>
    <m/>
    <n v="32887"/>
    <m/>
    <m/>
    <m/>
    <m/>
    <n v="0"/>
    <n v="0"/>
    <m/>
    <m/>
    <m/>
    <m/>
    <m/>
    <m/>
    <m/>
    <m/>
    <m/>
    <m/>
    <m/>
    <m/>
  </r>
  <r>
    <x v="5"/>
    <s v="Elizabethtown Community and Technical College "/>
    <m/>
    <n v="156648"/>
    <x v="7"/>
    <n v="107299.18"/>
    <n v="101427"/>
    <n v="49926.080000000002"/>
    <n v="33338"/>
    <n v="7217"/>
    <n v="7853"/>
    <n v="50156.1"/>
    <m/>
    <m/>
    <n v="60236"/>
    <m/>
    <m/>
    <m/>
    <m/>
    <n v="0"/>
    <n v="0"/>
    <m/>
    <m/>
    <m/>
    <m/>
    <m/>
    <m/>
    <m/>
    <m/>
    <m/>
    <m/>
    <m/>
    <m/>
  </r>
  <r>
    <x v="5"/>
    <s v="Maysville Community and Technical College "/>
    <m/>
    <n v="157331"/>
    <x v="7"/>
    <n v="47106.400000000001"/>
    <n v="61990"/>
    <n v="24382.400000000001"/>
    <n v="21952"/>
    <n v="1107"/>
    <n v="5764"/>
    <n v="21617"/>
    <m/>
    <m/>
    <n v="34274"/>
    <m/>
    <m/>
    <m/>
    <m/>
    <n v="0"/>
    <n v="0"/>
    <m/>
    <m/>
    <m/>
    <m/>
    <m/>
    <m/>
    <m/>
    <m/>
    <m/>
    <m/>
    <m/>
    <m/>
  </r>
  <r>
    <x v="5"/>
    <s v="Owensboro Community and Technical College "/>
    <m/>
    <n v="247940"/>
    <x v="7"/>
    <n v="50659.79"/>
    <n v="69801"/>
    <n v="21542.79"/>
    <n v="38653"/>
    <n v="6255"/>
    <n v="5337"/>
    <n v="22862"/>
    <m/>
    <m/>
    <n v="25811"/>
    <m/>
    <m/>
    <m/>
    <m/>
    <n v="0"/>
    <n v="0"/>
    <m/>
    <m/>
    <m/>
    <m/>
    <m/>
    <m/>
    <m/>
    <m/>
    <m/>
    <m/>
    <m/>
    <m/>
  </r>
  <r>
    <x v="5"/>
    <s v="Somerset Community and Technical College "/>
    <m/>
    <n v="157711"/>
    <x v="7"/>
    <n v="64729.2"/>
    <n v="93347"/>
    <n v="27105.200000000001"/>
    <n v="31662"/>
    <n v="6923"/>
    <n v="3716"/>
    <n v="30701"/>
    <m/>
    <m/>
    <n v="57969"/>
    <m/>
    <m/>
    <m/>
    <m/>
    <n v="0"/>
    <n v="0"/>
    <m/>
    <m/>
    <m/>
    <m/>
    <m/>
    <m/>
    <m/>
    <m/>
    <m/>
    <m/>
    <m/>
    <m/>
  </r>
  <r>
    <x v="5"/>
    <s v="West Kentucky Community and Technical College"/>
    <m/>
    <n v="157483"/>
    <x v="7"/>
    <n v="71494.2"/>
    <n v="85823"/>
    <n v="43930.2"/>
    <n v="39408"/>
    <n v="4759"/>
    <n v="6221"/>
    <n v="22805"/>
    <m/>
    <m/>
    <n v="40194"/>
    <m/>
    <m/>
    <m/>
    <m/>
    <n v="0"/>
    <n v="0"/>
    <m/>
    <m/>
    <m/>
    <m/>
    <m/>
    <m/>
    <m/>
    <m/>
    <m/>
    <m/>
    <m/>
    <m/>
  </r>
  <r>
    <x v="5"/>
    <s v="Ashland Community and Technical College"/>
    <m/>
    <n v="156231"/>
    <x v="8"/>
    <n v="55454"/>
    <n v="53177"/>
    <n v="29898"/>
    <n v="26653"/>
    <n v="2838"/>
    <n v="2324"/>
    <n v="22718"/>
    <m/>
    <m/>
    <n v="24200"/>
    <m/>
    <m/>
    <m/>
    <m/>
    <n v="0"/>
    <n v="0"/>
    <m/>
    <m/>
    <m/>
    <m/>
    <m/>
    <m/>
    <m/>
    <m/>
    <m/>
    <m/>
    <m/>
    <m/>
  </r>
  <r>
    <x v="5"/>
    <s v="Hazard Community and Technical College"/>
    <m/>
    <n v="156790"/>
    <x v="8"/>
    <n v="102499.2"/>
    <n v="51470"/>
    <n v="37046.199999999997"/>
    <n v="14846"/>
    <n v="5006"/>
    <n v="3371"/>
    <n v="60447"/>
    <m/>
    <m/>
    <n v="33253"/>
    <m/>
    <m/>
    <m/>
    <m/>
    <n v="0"/>
    <n v="0"/>
    <m/>
    <m/>
    <m/>
    <m/>
    <m/>
    <m/>
    <m/>
    <m/>
    <m/>
    <m/>
    <m/>
    <m/>
  </r>
  <r>
    <x v="5"/>
    <s v="Henderson Community College "/>
    <m/>
    <n v="156851"/>
    <x v="8"/>
    <n v="56053.79"/>
    <n v="23278"/>
    <n v="28043.79"/>
    <n v="8879"/>
    <n v="2351"/>
    <n v="2276"/>
    <n v="25659"/>
    <m/>
    <m/>
    <n v="12123"/>
    <m/>
    <m/>
    <m/>
    <m/>
    <n v="0"/>
    <n v="0"/>
    <m/>
    <m/>
    <m/>
    <m/>
    <m/>
    <m/>
    <m/>
    <m/>
    <m/>
    <m/>
    <m/>
    <m/>
  </r>
  <r>
    <x v="5"/>
    <s v="Hopkinsville Community College "/>
    <m/>
    <n v="156860"/>
    <x v="8"/>
    <n v="94718.170000000013"/>
    <n v="41109"/>
    <n v="48121.37"/>
    <n v="18385"/>
    <n v="7069"/>
    <n v="1000"/>
    <n v="39527.800000000003"/>
    <m/>
    <m/>
    <n v="21724"/>
    <m/>
    <m/>
    <m/>
    <m/>
    <n v="0"/>
    <n v="0"/>
    <m/>
    <m/>
    <m/>
    <m/>
    <m/>
    <m/>
    <m/>
    <m/>
    <m/>
    <m/>
    <m/>
    <m/>
  </r>
  <r>
    <x v="5"/>
    <s v="Madisonville Community College"/>
    <m/>
    <n v="157304"/>
    <x v="8"/>
    <n v="54952.31"/>
    <n v="52740"/>
    <n v="17943.009999999998"/>
    <n v="19536"/>
    <n v="3755.3"/>
    <n v="6726"/>
    <n v="33254"/>
    <m/>
    <m/>
    <n v="26478"/>
    <m/>
    <m/>
    <m/>
    <m/>
    <n v="0"/>
    <n v="0"/>
    <m/>
    <m/>
    <m/>
    <m/>
    <m/>
    <m/>
    <m/>
    <m/>
    <m/>
    <m/>
    <m/>
    <m/>
  </r>
  <r>
    <x v="5"/>
    <s v="Southeast Kentucky Community and Technical College"/>
    <m/>
    <n v="157739"/>
    <x v="8"/>
    <n v="23452"/>
    <n v="47904"/>
    <n v="11922"/>
    <n v="20236"/>
    <n v="0"/>
    <m/>
    <n v="11530"/>
    <m/>
    <m/>
    <n v="27668"/>
    <m/>
    <m/>
    <m/>
    <m/>
    <n v="0"/>
    <n v="0"/>
    <m/>
    <m/>
    <m/>
    <m/>
    <m/>
    <m/>
    <m/>
    <m/>
    <m/>
    <m/>
    <m/>
    <m/>
  </r>
  <r>
    <x v="5"/>
    <s v="Gateway Community and Technical College"/>
    <m/>
    <n v="157438"/>
    <x v="9"/>
    <n v="74168.600000000006"/>
    <n v="74313"/>
    <n v="45793.599999999999"/>
    <n v="37068"/>
    <n v="2278"/>
    <n v="4465"/>
    <n v="26097"/>
    <m/>
    <m/>
    <n v="32780"/>
    <m/>
    <m/>
    <m/>
    <m/>
    <n v="0"/>
    <n v="0"/>
    <m/>
    <m/>
    <m/>
    <m/>
    <m/>
    <m/>
    <m/>
    <m/>
    <m/>
    <m/>
    <m/>
    <m/>
  </r>
  <r>
    <x v="5"/>
    <s v="Southcentral Kentucky Community and Technical College"/>
    <m/>
    <n v="156338"/>
    <x v="9"/>
    <n v="80352.7"/>
    <n v="76907"/>
    <n v="48628.7"/>
    <n v="38862"/>
    <n v="5915"/>
    <n v="4922"/>
    <n v="25809"/>
    <m/>
    <m/>
    <n v="33123"/>
    <m/>
    <m/>
    <m/>
    <m/>
    <n v="0"/>
    <n v="0"/>
    <m/>
    <m/>
    <m/>
    <m/>
    <m/>
    <m/>
    <m/>
    <m/>
    <m/>
    <m/>
    <m/>
    <m/>
  </r>
  <r>
    <x v="6"/>
    <s v="Louisiana State University and A&amp;M College"/>
    <m/>
    <n v="159391"/>
    <x v="0"/>
    <n v="701521.99999999988"/>
    <n v="745363"/>
    <n v="669282.60641848505"/>
    <n v="501083.59011700301"/>
    <m/>
    <m/>
    <n v="32239.3935815148"/>
    <m/>
    <m/>
    <n v="244279.40988299699"/>
    <m/>
    <m/>
    <m/>
    <m/>
    <n v="143983.50000000038"/>
    <n v="150237.00000000041"/>
    <n v="133418.73170494399"/>
    <n v="121840.755434783"/>
    <m/>
    <m/>
    <n v="10564.768295056399"/>
    <m/>
    <m/>
    <n v="28396.244565217399"/>
    <m/>
    <m/>
    <m/>
    <m/>
  </r>
  <r>
    <x v="6"/>
    <s v="Louisiana Tech University "/>
    <m/>
    <n v="159647"/>
    <x v="1"/>
    <n v="266965.00000000017"/>
    <n v="262612.00000000012"/>
    <n v="228469.24582284299"/>
    <n v="194112.42158671599"/>
    <m/>
    <m/>
    <n v="38495.7541771572"/>
    <m/>
    <m/>
    <n v="68499.578413284107"/>
    <m/>
    <m/>
    <m/>
    <m/>
    <n v="22038"/>
    <n v="22088"/>
    <n v="16013.695825049699"/>
    <n v="14242.4137235116"/>
    <m/>
    <m/>
    <n v="6024.3041749503"/>
    <m/>
    <m/>
    <n v="7845.5862764883996"/>
    <m/>
    <m/>
    <m/>
    <m/>
  </r>
  <r>
    <x v="6"/>
    <s v="University of Louisiana at Lafayette"/>
    <m/>
    <n v="160658"/>
    <x v="1"/>
    <n v="386247.99999999959"/>
    <n v="368365.99999999983"/>
    <n v="336911.29300291499"/>
    <n v="302142.14345683501"/>
    <m/>
    <m/>
    <n v="49336.706997084599"/>
    <m/>
    <m/>
    <n v="66223.856543164802"/>
    <m/>
    <m/>
    <m/>
    <m/>
    <n v="38718.999999999993"/>
    <n v="40954.999999999971"/>
    <n v="31832.899367088601"/>
    <n v="33499.287507846799"/>
    <m/>
    <m/>
    <n v="6886.1006329113898"/>
    <m/>
    <m/>
    <n v="7455.7124921531704"/>
    <m/>
    <m/>
    <m/>
    <m/>
  </r>
  <r>
    <x v="6"/>
    <s v="University of New Orleans"/>
    <m/>
    <n v="159939"/>
    <x v="1"/>
    <n v="165664.99999999971"/>
    <n v="164434"/>
    <n v="138525.341296928"/>
    <n v="76731.460610932496"/>
    <m/>
    <m/>
    <n v="27139.658703071698"/>
    <m/>
    <m/>
    <n v="87702.539389067504"/>
    <m/>
    <m/>
    <m/>
    <m/>
    <n v="23311.000000000022"/>
    <n v="23104"/>
    <n v="18787.0323450135"/>
    <n v="13190.0500463392"/>
    <m/>
    <m/>
    <n v="4523.9676549865198"/>
    <m/>
    <m/>
    <n v="9913.9499536608"/>
    <m/>
    <m/>
    <m/>
    <m/>
  </r>
  <r>
    <x v="6"/>
    <s v="McNeese State University"/>
    <m/>
    <n v="159717"/>
    <x v="2"/>
    <n v="182438.99999999971"/>
    <n v="178508.00000000012"/>
    <n v="139121.27453625601"/>
    <n v="66258.698611111104"/>
    <m/>
    <m/>
    <n v="43317.7254637437"/>
    <m/>
    <m/>
    <n v="112249.301388889"/>
    <m/>
    <m/>
    <m/>
    <m/>
    <n v="10602.999999999989"/>
    <n v="10794"/>
    <n v="4582.8290766208202"/>
    <n v="2132.1481481481501"/>
    <m/>
    <m/>
    <n v="6020.1709233791698"/>
    <m/>
    <m/>
    <n v="8661.8518518518504"/>
    <m/>
    <m/>
    <m/>
    <m/>
  </r>
  <r>
    <x v="6"/>
    <s v="Southeastern Louisiana University "/>
    <m/>
    <n v="160612"/>
    <x v="2"/>
    <n v="326452.00000000052"/>
    <n v="328315.99999999971"/>
    <n v="269224.64283108403"/>
    <n v="233604.85630926301"/>
    <m/>
    <m/>
    <n v="57227.357168916496"/>
    <m/>
    <m/>
    <n v="94711.143690736702"/>
    <m/>
    <m/>
    <m/>
    <m/>
    <n v="16816.00000000004"/>
    <n v="16550"/>
    <n v="11451.6199095023"/>
    <n v="8226.94541231127"/>
    <m/>
    <m/>
    <n v="5364.3800904977397"/>
    <m/>
    <m/>
    <n v="8323.05458768873"/>
    <m/>
    <m/>
    <m/>
    <m/>
  </r>
  <r>
    <x v="6"/>
    <s v="Southern University and A&amp;M College at Baton Rouge "/>
    <m/>
    <n v="160621"/>
    <x v="2"/>
    <n v="158809"/>
    <n v="156947.99999999951"/>
    <n v="139604.96740273401"/>
    <n v="116807.562167906"/>
    <m/>
    <m/>
    <n v="19204.032597265999"/>
    <m/>
    <m/>
    <n v="40140.437832093499"/>
    <m/>
    <m/>
    <m/>
    <m/>
    <n v="15770.999999999949"/>
    <n v="14822.99999999998"/>
    <n v="13542.697929354399"/>
    <n v="10594.2162162162"/>
    <m/>
    <m/>
    <n v="2228.30207064555"/>
    <m/>
    <m/>
    <n v="4228.7837837837797"/>
    <m/>
    <m/>
    <m/>
    <m/>
  </r>
  <r>
    <x v="6"/>
    <s v="University of Louisiana at Monroe"/>
    <m/>
    <n v="159993"/>
    <x v="2"/>
    <n v="180638"/>
    <n v="175676"/>
    <n v="131137.20000000001"/>
    <n v="87344.343199700306"/>
    <m/>
    <m/>
    <n v="49500.800000000003"/>
    <m/>
    <m/>
    <n v="88331.656800299694"/>
    <m/>
    <m/>
    <m/>
    <m/>
    <n v="38869"/>
    <n v="42331"/>
    <n v="15671.171965317901"/>
    <n v="13033.9556171983"/>
    <m/>
    <m/>
    <n v="23197.828034682101"/>
    <m/>
    <m/>
    <n v="29297.044382801701"/>
    <m/>
    <m/>
    <m/>
    <m/>
  </r>
  <r>
    <x v="6"/>
    <s v="Grambling State University"/>
    <m/>
    <n v="159009"/>
    <x v="3"/>
    <n v="120395.00000000029"/>
    <n v="126302"/>
    <n v="109480.068681319"/>
    <n v="50091.064327485401"/>
    <m/>
    <m/>
    <n v="10914.9313186813"/>
    <m/>
    <m/>
    <n v="76210.935672514606"/>
    <m/>
    <m/>
    <m/>
    <m/>
    <n v="18096.00000000004"/>
    <n v="16346"/>
    <n v="10241.142857142901"/>
    <n v="3887.4441260745002"/>
    <m/>
    <m/>
    <n v="7854.8571428571404"/>
    <m/>
    <m/>
    <n v="12458.555873925499"/>
    <m/>
    <m/>
    <m/>
    <m/>
  </r>
  <r>
    <x v="6"/>
    <s v="Louisiana State University in Shreveport"/>
    <m/>
    <n v="159416"/>
    <x v="3"/>
    <n v="59855"/>
    <n v="60666"/>
    <n v="36477.586588061902"/>
    <n v="39179.236823612096"/>
    <m/>
    <m/>
    <n v="23377.413411938101"/>
    <m/>
    <m/>
    <n v="21486.7631763879"/>
    <m/>
    <m/>
    <m/>
    <m/>
    <n v="97416"/>
    <n v="124502"/>
    <n v="26470.066350710898"/>
    <n v="28531.708333333299"/>
    <m/>
    <m/>
    <n v="70945.933649289102"/>
    <m/>
    <m/>
    <n v="95970.291666666701"/>
    <m/>
    <m/>
    <m/>
    <m/>
  </r>
  <r>
    <x v="6"/>
    <s v="Nicholls State University "/>
    <m/>
    <n v="159966"/>
    <x v="3"/>
    <n v="158842.00000000029"/>
    <n v="161193"/>
    <n v="108835.103346819"/>
    <n v="72972.506756756804"/>
    <m/>
    <m/>
    <n v="50006.896653181298"/>
    <m/>
    <m/>
    <n v="88220.493243243196"/>
    <m/>
    <m/>
    <m/>
    <m/>
    <n v="10308"/>
    <n v="11513"/>
    <n v="3759.38823529412"/>
    <n v="3259.7048192771099"/>
    <m/>
    <m/>
    <n v="6548.61176470588"/>
    <m/>
    <m/>
    <n v="8253.2951807228892"/>
    <m/>
    <m/>
    <m/>
    <m/>
  </r>
  <r>
    <x v="6"/>
    <s v="Northwestern State University"/>
    <m/>
    <n v="160038"/>
    <x v="3"/>
    <n v="240675.99999999988"/>
    <n v="238814"/>
    <n v="159196.63019333599"/>
    <n v="137393.98449920499"/>
    <m/>
    <m/>
    <n v="81479.369806663904"/>
    <m/>
    <m/>
    <n v="101420.01550079499"/>
    <m/>
    <m/>
    <m/>
    <m/>
    <n v="14528.999999999991"/>
    <n v="15591.00000000002"/>
    <n v="3384.5965909090901"/>
    <n v="2521.7510548523201"/>
    <m/>
    <m/>
    <n v="11144.403409090901"/>
    <m/>
    <m/>
    <n v="13069.248945147699"/>
    <m/>
    <m/>
    <m/>
    <m/>
  </r>
  <r>
    <x v="6"/>
    <s v="Southern University at New Orleans"/>
    <m/>
    <n v="160630"/>
    <x v="4"/>
    <n v="46277"/>
    <n v="41596"/>
    <n v="32266.1875"/>
    <n v="0"/>
    <m/>
    <m/>
    <n v="14010.8125"/>
    <m/>
    <m/>
    <n v="41596"/>
    <m/>
    <m/>
    <m/>
    <m/>
    <n v="8874"/>
    <n v="7039"/>
    <n v="6487.2"/>
    <n v="0"/>
    <m/>
    <m/>
    <n v="2386.8000000000002"/>
    <m/>
    <m/>
    <n v="7039"/>
    <m/>
    <m/>
    <m/>
    <m/>
  </r>
  <r>
    <x v="6"/>
    <s v="Louisiana State University at Alexandria"/>
    <m/>
    <n v="159382"/>
    <x v="5"/>
    <n v="75010"/>
    <n v="80535"/>
    <n v="43707.033356990803"/>
    <n v="41532.6091954023"/>
    <m/>
    <m/>
    <n v="31302.9666430092"/>
    <m/>
    <m/>
    <n v="39002.3908045977"/>
    <m/>
    <m/>
    <m/>
    <m/>
    <n v="0"/>
    <n v="0"/>
    <m/>
    <m/>
    <m/>
    <m/>
    <m/>
    <m/>
    <m/>
    <m/>
    <m/>
    <m/>
    <m/>
    <m/>
  </r>
  <r>
    <x v="6"/>
    <s v="Baton Rouge Community College"/>
    <m/>
    <n v="437103"/>
    <x v="6"/>
    <n v="166797"/>
    <n v="154897"/>
    <n v="129903.99472402599"/>
    <n v="56047.3393339334"/>
    <m/>
    <m/>
    <n v="36893.005275973999"/>
    <m/>
    <m/>
    <n v="98849.6606660666"/>
    <m/>
    <m/>
    <m/>
    <m/>
    <n v="0"/>
    <n v="0"/>
    <m/>
    <m/>
    <m/>
    <m/>
    <m/>
    <m/>
    <m/>
    <m/>
    <m/>
    <m/>
    <m/>
    <m/>
  </r>
  <r>
    <x v="6"/>
    <s v="Delgado Community College "/>
    <m/>
    <n v="158662"/>
    <x v="6"/>
    <n v="273512.99999999988"/>
    <n v="275618"/>
    <n v="217655.065013774"/>
    <n v="133996.504610845"/>
    <m/>
    <m/>
    <n v="55857.934986225897"/>
    <m/>
    <m/>
    <n v="141621.495389155"/>
    <m/>
    <m/>
    <m/>
    <m/>
    <n v="0"/>
    <n v="0"/>
    <m/>
    <m/>
    <m/>
    <m/>
    <m/>
    <m/>
    <m/>
    <m/>
    <m/>
    <m/>
    <m/>
    <m/>
  </r>
  <r>
    <x v="6"/>
    <s v="Bossier Parish Community College"/>
    <m/>
    <n v="158431"/>
    <x v="7"/>
    <n v="134390"/>
    <n v="130050"/>
    <n v="87769.752212389401"/>
    <n v="49671.875"/>
    <m/>
    <m/>
    <n v="46620.247787610599"/>
    <m/>
    <m/>
    <n v="80378.125"/>
    <m/>
    <m/>
    <m/>
    <m/>
    <n v="0"/>
    <n v="0"/>
    <m/>
    <m/>
    <m/>
    <m/>
    <m/>
    <m/>
    <m/>
    <m/>
    <m/>
    <m/>
    <m/>
    <m/>
  </r>
  <r>
    <x v="6"/>
    <s v="Louisiana Delta Community College"/>
    <m/>
    <n v="483212"/>
    <x v="7"/>
    <n v="92065.5"/>
    <n v="84462"/>
    <n v="59104.843017806903"/>
    <n v="47255.4565774156"/>
    <m/>
    <m/>
    <n v="32960.656982193097"/>
    <m/>
    <m/>
    <n v="37206.5434225844"/>
    <m/>
    <m/>
    <m/>
    <m/>
    <n v="0"/>
    <n v="0"/>
    <m/>
    <m/>
    <m/>
    <m/>
    <m/>
    <m/>
    <m/>
    <m/>
    <m/>
    <m/>
    <m/>
    <m/>
  </r>
  <r>
    <x v="6"/>
    <s v="South Louisiana Community College"/>
    <m/>
    <n v="434061"/>
    <x v="7"/>
    <n v="142944"/>
    <n v="139465"/>
    <n v="112052.87615610199"/>
    <n v="75108.701814058993"/>
    <m/>
    <m/>
    <n v="30891.123843898"/>
    <m/>
    <m/>
    <n v="64356.298185940999"/>
    <m/>
    <m/>
    <m/>
    <m/>
    <n v="0"/>
    <n v="0"/>
    <m/>
    <m/>
    <m/>
    <m/>
    <m/>
    <m/>
    <m/>
    <m/>
    <m/>
    <m/>
    <m/>
    <m/>
  </r>
  <r>
    <x v="6"/>
    <s v="Southern University in Shreveport"/>
    <m/>
    <n v="160649"/>
    <x v="7"/>
    <n v="65648"/>
    <n v="61383"/>
    <n v="51059.555555555598"/>
    <n v="40446.519490254897"/>
    <m/>
    <m/>
    <n v="14588.4444444444"/>
    <m/>
    <m/>
    <n v="20936.480509745099"/>
    <m/>
    <m/>
    <m/>
    <m/>
    <n v="0"/>
    <n v="0"/>
    <m/>
    <m/>
    <m/>
    <m/>
    <m/>
    <m/>
    <m/>
    <m/>
    <m/>
    <m/>
    <m/>
    <m/>
  </r>
  <r>
    <x v="6"/>
    <s v="Louisiana State University at Eunice"/>
    <s v="Reclassified: Met the criteria for Two-Year 2 in 2018-19, 2019-20, and 2020-21."/>
    <n v="159407"/>
    <x v="7"/>
    <n v="61881"/>
    <n v="60805"/>
    <n v="41133.020527859197"/>
    <n v="34728.306613226501"/>
    <m/>
    <m/>
    <n v="20747.9794721408"/>
    <m/>
    <m/>
    <n v="26076.693386773499"/>
    <m/>
    <m/>
    <m/>
    <m/>
    <n v="0"/>
    <n v="0"/>
    <m/>
    <m/>
    <m/>
    <m/>
    <m/>
    <m/>
    <m/>
    <m/>
    <m/>
    <m/>
    <m/>
    <m/>
  </r>
  <r>
    <x v="6"/>
    <s v="Nunez Community College"/>
    <m/>
    <n v="158884"/>
    <x v="8"/>
    <n v="43840"/>
    <n v="44603"/>
    <n v="26879.676767676799"/>
    <n v="18447.699716713902"/>
    <m/>
    <m/>
    <n v="16960.323232323201"/>
    <m/>
    <m/>
    <n v="26155.300283286098"/>
    <m/>
    <m/>
    <m/>
    <m/>
    <n v="0"/>
    <n v="0"/>
    <m/>
    <m/>
    <m/>
    <m/>
    <m/>
    <m/>
    <m/>
    <m/>
    <m/>
    <m/>
    <m/>
    <m/>
  </r>
  <r>
    <x v="6"/>
    <s v="River Parishes Community College"/>
    <s v="Met the criteria for Two-Year 2 in 2018-19 and 2019-20."/>
    <n v="436304"/>
    <x v="8"/>
    <n v="61520"/>
    <n v="58568"/>
    <n v="51212.060630888998"/>
    <n v="37514.459760627302"/>
    <m/>
    <m/>
    <n v="10307.939369111"/>
    <m/>
    <m/>
    <n v="21053.540239372702"/>
    <m/>
    <m/>
    <m/>
    <m/>
    <n v="0"/>
    <n v="0"/>
    <m/>
    <m/>
    <m/>
    <m/>
    <m/>
    <m/>
    <m/>
    <m/>
    <m/>
    <m/>
    <m/>
    <m/>
  </r>
  <r>
    <x v="6"/>
    <s v="Central LA Technical Community College"/>
    <m/>
    <n v="158088"/>
    <x v="9"/>
    <n v="45534.000000000044"/>
    <n v="43041"/>
    <n v="39137.602334306001"/>
    <n v="32715.298557692298"/>
    <m/>
    <m/>
    <n v="6396.3976656940404"/>
    <m/>
    <m/>
    <n v="10325.7014423077"/>
    <m/>
    <m/>
    <m/>
    <m/>
    <n v="0"/>
    <n v="0"/>
    <m/>
    <m/>
    <m/>
    <m/>
    <m/>
    <m/>
    <m/>
    <m/>
    <m/>
    <m/>
    <m/>
    <m/>
  </r>
  <r>
    <x v="6"/>
    <s v="L.E. Fletcher Technical Community College"/>
    <m/>
    <n v="160481"/>
    <x v="9"/>
    <n v="48244"/>
    <n v="46862"/>
    <n v="31503.913253012"/>
    <n v="24428.063829787199"/>
    <m/>
    <m/>
    <n v="16740.086746988"/>
    <m/>
    <m/>
    <n v="22433.936170212801"/>
    <m/>
    <m/>
    <m/>
    <m/>
    <n v="0"/>
    <n v="0"/>
    <m/>
    <m/>
    <m/>
    <m/>
    <m/>
    <m/>
    <m/>
    <m/>
    <m/>
    <m/>
    <m/>
    <m/>
  </r>
  <r>
    <x v="6"/>
    <s v="Northshore Technical College"/>
    <m/>
    <n v="160667"/>
    <x v="9"/>
    <n v="68473"/>
    <n v="63782"/>
    <n v="52778.767286767303"/>
    <n v="46952.656795747898"/>
    <m/>
    <m/>
    <n v="15694.232713232699"/>
    <m/>
    <m/>
    <n v="16829.343204252102"/>
    <m/>
    <m/>
    <m/>
    <m/>
    <n v="0"/>
    <n v="0"/>
    <m/>
    <m/>
    <m/>
    <m/>
    <m/>
    <m/>
    <m/>
    <m/>
    <m/>
    <m/>
    <m/>
    <m/>
  </r>
  <r>
    <x v="6"/>
    <s v="Sowela Technical Community College"/>
    <m/>
    <n v="160579"/>
    <x v="9"/>
    <n v="74465.5"/>
    <n v="68860"/>
    <n v="61115.456926658902"/>
    <n v="49743.892617449703"/>
    <m/>
    <m/>
    <n v="13350.043073341099"/>
    <m/>
    <m/>
    <n v="19116.107382550301"/>
    <m/>
    <m/>
    <m/>
    <m/>
    <n v="0"/>
    <n v="0"/>
    <m/>
    <m/>
    <m/>
    <m/>
    <m/>
    <m/>
    <m/>
    <m/>
    <m/>
    <m/>
    <m/>
    <m/>
  </r>
  <r>
    <x v="6"/>
    <s v="Northwest LA Technical College"/>
    <m/>
    <n v="160010"/>
    <x v="10"/>
    <n v="24617.999999999996"/>
    <n v="22823"/>
    <n v="24468.497975708498"/>
    <n v="20858.1059602649"/>
    <m/>
    <m/>
    <n v="149.502024291498"/>
    <m/>
    <m/>
    <n v="1964.8940397351"/>
    <m/>
    <m/>
    <m/>
    <m/>
    <n v="0"/>
    <n v="0"/>
    <m/>
    <m/>
    <m/>
    <m/>
    <m/>
    <m/>
    <m/>
    <m/>
    <m/>
    <m/>
    <m/>
    <m/>
  </r>
  <r>
    <x v="6"/>
    <s v="Louisiana State University Health Sciences Center - New Orleans"/>
    <m/>
    <n v="159373"/>
    <x v="11"/>
    <n v="0"/>
    <n v="0"/>
    <m/>
    <m/>
    <m/>
    <m/>
    <m/>
    <m/>
    <m/>
    <m/>
    <m/>
    <m/>
    <m/>
    <m/>
    <n v="0"/>
    <n v="0"/>
    <m/>
    <m/>
    <m/>
    <m/>
    <m/>
    <m/>
    <m/>
    <m/>
    <m/>
    <m/>
    <m/>
    <m/>
  </r>
  <r>
    <x v="6"/>
    <s v="Louisiana State University Health Sciences Center - Shreveport"/>
    <m/>
    <n v="435000"/>
    <x v="11"/>
    <n v="0"/>
    <n v="0"/>
    <m/>
    <m/>
    <m/>
    <m/>
    <m/>
    <m/>
    <m/>
    <m/>
    <m/>
    <m/>
    <m/>
    <m/>
    <n v="0"/>
    <n v="0"/>
    <m/>
    <m/>
    <m/>
    <m/>
    <m/>
    <m/>
    <m/>
    <m/>
    <m/>
    <m/>
    <m/>
    <m/>
  </r>
  <r>
    <x v="6"/>
    <s v="Southern University Law Center"/>
    <m/>
    <n v="440916"/>
    <x v="11"/>
    <n v="0"/>
    <n v="0"/>
    <m/>
    <m/>
    <m/>
    <m/>
    <m/>
    <m/>
    <m/>
    <m/>
    <m/>
    <m/>
    <m/>
    <m/>
    <n v="17788"/>
    <n v="21220.000000000051"/>
    <n v="16339"/>
    <n v="19723.153526971"/>
    <m/>
    <m/>
    <n v="1449"/>
    <m/>
    <m/>
    <n v="1496.84647302905"/>
    <m/>
    <m/>
    <m/>
    <m/>
  </r>
  <r>
    <x v="7"/>
    <s v="Allegany College of Maryland"/>
    <m/>
    <n v="161688"/>
    <x v="8"/>
    <n v="47735"/>
    <n v="46937"/>
    <n v="28330"/>
    <n v="19375"/>
    <n v="8752"/>
    <n v="5910"/>
    <n v="9725"/>
    <n v="928"/>
    <n v="0"/>
    <n v="20874"/>
    <n v="778"/>
    <n v="0"/>
    <n v="0"/>
    <n v="0"/>
    <n v="0"/>
    <n v="0"/>
    <n v="0"/>
    <n v="0"/>
    <n v="0"/>
    <n v="0"/>
    <n v="0"/>
    <n v="0"/>
    <n v="0"/>
    <n v="0"/>
    <n v="0"/>
    <n v="0"/>
    <m/>
    <n v="0"/>
  </r>
  <r>
    <x v="7"/>
    <s v="Anne Arundel Community College "/>
    <m/>
    <n v="161767"/>
    <x v="6"/>
    <n v="227134"/>
    <n v="222168"/>
    <n v="141718"/>
    <n v="55230"/>
    <n v="5819"/>
    <n v="10000"/>
    <n v="79315"/>
    <n v="282"/>
    <n v="0"/>
    <n v="156529"/>
    <n v="409"/>
    <n v="0"/>
    <n v="0"/>
    <n v="0"/>
    <n v="0"/>
    <n v="0"/>
    <n v="0"/>
    <n v="0"/>
    <n v="0"/>
    <n v="0"/>
    <n v="0"/>
    <n v="0"/>
    <n v="0"/>
    <n v="0"/>
    <n v="0"/>
    <n v="0"/>
    <m/>
    <n v="0"/>
  </r>
  <r>
    <x v="7"/>
    <s v="Baltimore City Community College"/>
    <m/>
    <n v="161864"/>
    <x v="7"/>
    <n v="85287"/>
    <n v="82002"/>
    <n v="62780"/>
    <n v="27075"/>
    <n v="1687"/>
    <n v="139"/>
    <n v="20820"/>
    <n v="0"/>
    <n v="0"/>
    <n v="54788"/>
    <n v="0"/>
    <n v="0"/>
    <n v="0"/>
    <n v="0"/>
    <n v="0"/>
    <n v="0"/>
    <n v="0"/>
    <n v="0"/>
    <n v="0"/>
    <n v="0"/>
    <n v="0"/>
    <n v="0"/>
    <n v="0"/>
    <n v="0"/>
    <n v="0"/>
    <n v="0"/>
    <m/>
    <n v="0"/>
  </r>
  <r>
    <x v="7"/>
    <s v="Carroll Community College"/>
    <s v="Met the criteria for Two-Year 3 in 2018-19 and 2019-20."/>
    <n v="405872"/>
    <x v="7"/>
    <n v="56032.5"/>
    <n v="53193"/>
    <n v="41286.5"/>
    <n v="19521.5"/>
    <n v="1730"/>
    <n v="1894"/>
    <n v="13016"/>
    <n v="0"/>
    <n v="0"/>
    <n v="31777.5"/>
    <n v="0"/>
    <n v="0"/>
    <n v="0"/>
    <n v="0"/>
    <n v="0"/>
    <n v="0"/>
    <n v="0"/>
    <n v="0"/>
    <n v="0"/>
    <n v="0"/>
    <n v="0"/>
    <n v="0"/>
    <n v="0"/>
    <n v="0"/>
    <n v="0"/>
    <n v="0"/>
    <m/>
    <n v="0"/>
  </r>
  <r>
    <x v="7"/>
    <s v="Cecil Community College "/>
    <m/>
    <n v="162104"/>
    <x v="8"/>
    <n v="40934"/>
    <n v="37736"/>
    <n v="26765"/>
    <n v="22653"/>
    <n v="2655"/>
    <n v="1342"/>
    <n v="11514"/>
    <n v="0"/>
    <n v="0"/>
    <n v="13741"/>
    <n v="0"/>
    <n v="0"/>
    <n v="0"/>
    <n v="0"/>
    <n v="0"/>
    <n v="0"/>
    <n v="0"/>
    <n v="0"/>
    <n v="0"/>
    <n v="0"/>
    <n v="0"/>
    <n v="0"/>
    <n v="0"/>
    <n v="0"/>
    <n v="0"/>
    <n v="0"/>
    <m/>
    <n v="0"/>
  </r>
  <r>
    <x v="7"/>
    <s v="Chesapeake College "/>
    <m/>
    <n v="162168"/>
    <x v="8"/>
    <n v="35541"/>
    <n v="33315"/>
    <n v="19566"/>
    <n v="9964"/>
    <n v="3792"/>
    <n v="709"/>
    <n v="11867"/>
    <n v="316"/>
    <n v="0"/>
    <n v="22579"/>
    <n v="63"/>
    <n v="0"/>
    <n v="0"/>
    <n v="0"/>
    <n v="0"/>
    <n v="0"/>
    <n v="0"/>
    <n v="0"/>
    <n v="0"/>
    <n v="0"/>
    <n v="0"/>
    <n v="0"/>
    <n v="0"/>
    <n v="0"/>
    <n v="0"/>
    <n v="0"/>
    <m/>
    <n v="0"/>
  </r>
  <r>
    <x v="7"/>
    <s v="College of Southern Maryland"/>
    <s v="Reclassified: Met the criteria for Two-Year 2 in 2017-18, 2018-19, and 2019-20."/>
    <n v="162122"/>
    <x v="7"/>
    <n v="123381"/>
    <n v="124845"/>
    <n v="68070"/>
    <n v="25740"/>
    <n v="5797"/>
    <n v="10527"/>
    <n v="48717"/>
    <n v="797"/>
    <n v="0"/>
    <n v="62985"/>
    <n v="25593"/>
    <n v="0"/>
    <n v="0"/>
    <n v="0"/>
    <n v="0"/>
    <n v="0"/>
    <n v="0"/>
    <n v="0"/>
    <n v="0"/>
    <n v="0"/>
    <n v="0"/>
    <n v="0"/>
    <n v="0"/>
    <n v="0"/>
    <n v="0"/>
    <n v="0"/>
    <m/>
    <n v="0"/>
  </r>
  <r>
    <x v="7"/>
    <s v="Community College of Baltimore County (all campuses)"/>
    <m/>
    <n v="434672"/>
    <x v="6"/>
    <n v="318652"/>
    <n v="313344.5"/>
    <n v="205188"/>
    <n v="102323.5"/>
    <n v="35663"/>
    <n v="21649"/>
    <n v="77801"/>
    <n v="0"/>
    <n v="0"/>
    <n v="189372"/>
    <n v="0"/>
    <n v="0"/>
    <n v="0"/>
    <n v="0"/>
    <n v="0"/>
    <n v="0"/>
    <n v="0"/>
    <n v="0"/>
    <n v="0"/>
    <n v="0"/>
    <n v="0"/>
    <n v="0"/>
    <n v="0"/>
    <n v="0"/>
    <n v="0"/>
    <n v="0"/>
    <m/>
    <n v="0"/>
  </r>
  <r>
    <x v="7"/>
    <s v="Frederick Community College "/>
    <m/>
    <n v="162557"/>
    <x v="7"/>
    <n v="107486"/>
    <n v="102774"/>
    <n v="71066"/>
    <n v="54841"/>
    <n v="10053"/>
    <n v="10433"/>
    <n v="26367"/>
    <n v="0"/>
    <n v="0"/>
    <n v="37500"/>
    <n v="0"/>
    <n v="0"/>
    <n v="0"/>
    <n v="0"/>
    <n v="0"/>
    <n v="0"/>
    <n v="0"/>
    <n v="0"/>
    <n v="0"/>
    <n v="0"/>
    <n v="0"/>
    <n v="0"/>
    <n v="0"/>
    <n v="0"/>
    <n v="0"/>
    <n v="0"/>
    <m/>
    <n v="0"/>
  </r>
  <r>
    <x v="7"/>
    <s v="Garrett College "/>
    <m/>
    <n v="162609"/>
    <x v="8"/>
    <n v="14046"/>
    <n v="13504.25"/>
    <n v="9371"/>
    <n v="6927.25"/>
    <n v="1134"/>
    <n v="715"/>
    <n v="3541"/>
    <n v="0"/>
    <n v="0"/>
    <n v="5862"/>
    <n v="0"/>
    <n v="0"/>
    <n v="0"/>
    <n v="0"/>
    <n v="0"/>
    <n v="0"/>
    <n v="0"/>
    <n v="0"/>
    <n v="0"/>
    <n v="0"/>
    <n v="0"/>
    <n v="0"/>
    <n v="0"/>
    <n v="0"/>
    <n v="0"/>
    <n v="0"/>
    <m/>
    <n v="0"/>
  </r>
  <r>
    <x v="7"/>
    <s v="Hagerstown Community College "/>
    <m/>
    <n v="162690"/>
    <x v="7"/>
    <n v="71529"/>
    <n v="82570"/>
    <n v="44096"/>
    <n v="26859"/>
    <n v="4429"/>
    <n v="5103"/>
    <n v="22977"/>
    <n v="0"/>
    <n v="0"/>
    <n v="50608"/>
    <n v="0"/>
    <n v="0"/>
    <n v="27"/>
    <n v="0"/>
    <n v="0"/>
    <n v="0"/>
    <n v="0"/>
    <n v="0"/>
    <n v="0"/>
    <n v="0"/>
    <n v="0"/>
    <n v="0"/>
    <n v="0"/>
    <n v="0"/>
    <n v="0"/>
    <n v="0"/>
    <m/>
    <n v="0"/>
  </r>
  <r>
    <x v="7"/>
    <s v="Harford Community College "/>
    <m/>
    <n v="162706"/>
    <x v="7"/>
    <n v="103258"/>
    <n v="99517.5"/>
    <n v="66038"/>
    <n v="45856.5"/>
    <n v="1585"/>
    <n v="1794"/>
    <n v="35635"/>
    <n v="0"/>
    <n v="0"/>
    <n v="51867"/>
    <n v="0"/>
    <n v="0"/>
    <n v="0"/>
    <n v="0"/>
    <n v="0"/>
    <n v="0"/>
    <n v="0"/>
    <n v="0"/>
    <n v="0"/>
    <n v="0"/>
    <n v="0"/>
    <n v="0"/>
    <n v="0"/>
    <n v="0"/>
    <n v="0"/>
    <n v="0"/>
    <m/>
    <n v="0"/>
  </r>
  <r>
    <x v="7"/>
    <s v="Howard Community College "/>
    <m/>
    <n v="162779"/>
    <x v="6"/>
    <n v="174934"/>
    <n v="175856"/>
    <n v="134487"/>
    <n v="52364"/>
    <n v="10067"/>
    <n v="27303"/>
    <n v="30380"/>
    <n v="0"/>
    <n v="0"/>
    <n v="79860"/>
    <n v="16329"/>
    <n v="0"/>
    <n v="0"/>
    <n v="0"/>
    <n v="0"/>
    <n v="0"/>
    <n v="0"/>
    <n v="0"/>
    <n v="0"/>
    <n v="0"/>
    <n v="0"/>
    <n v="0"/>
    <n v="0"/>
    <n v="0"/>
    <n v="0"/>
    <n v="0"/>
    <m/>
    <n v="0"/>
  </r>
  <r>
    <x v="7"/>
    <s v="Montgomery College (all campuses)"/>
    <m/>
    <n v="163426"/>
    <x v="6"/>
    <n v="651205.40999999992"/>
    <n v="641620"/>
    <n v="474125.6"/>
    <n v="183192"/>
    <n v="92989.11"/>
    <n v="64244"/>
    <n v="84090.7"/>
    <n v="0"/>
    <n v="0"/>
    <n v="394184"/>
    <n v="0"/>
    <n v="0"/>
    <n v="0"/>
    <n v="0"/>
    <n v="0"/>
    <n v="0"/>
    <n v="0"/>
    <n v="0"/>
    <n v="0"/>
    <n v="0"/>
    <n v="0"/>
    <n v="0"/>
    <n v="0"/>
    <n v="0"/>
    <n v="0"/>
    <n v="0"/>
    <m/>
    <n v="0"/>
  </r>
  <r>
    <x v="7"/>
    <s v="Prince George's Community College "/>
    <m/>
    <n v="163657"/>
    <x v="6"/>
    <n v="404108"/>
    <n v="404271"/>
    <n v="172343"/>
    <n v="67452"/>
    <n v="185023"/>
    <n v="39966"/>
    <n v="46742"/>
    <n v="0"/>
    <n v="0"/>
    <n v="296853"/>
    <n v="0"/>
    <n v="0"/>
    <n v="0"/>
    <n v="0"/>
    <n v="0"/>
    <n v="0"/>
    <n v="0"/>
    <n v="0"/>
    <n v="0"/>
    <n v="0"/>
    <n v="0"/>
    <n v="0"/>
    <n v="0"/>
    <n v="0"/>
    <n v="0"/>
    <n v="0"/>
    <m/>
    <n v="0"/>
  </r>
  <r>
    <x v="7"/>
    <s v="Wor-Wic Community College "/>
    <m/>
    <n v="164313"/>
    <x v="8"/>
    <n v="49154.5"/>
    <n v="47327"/>
    <n v="31510.5"/>
    <n v="17344.5"/>
    <n v="4864"/>
    <n v="1075"/>
    <n v="12525"/>
    <n v="255"/>
    <n v="0"/>
    <n v="28907.5"/>
    <n v="0"/>
    <n v="0"/>
    <n v="0"/>
    <n v="0"/>
    <n v="0"/>
    <n v="0"/>
    <n v="0"/>
    <n v="0"/>
    <n v="0"/>
    <n v="0"/>
    <n v="0"/>
    <n v="0"/>
    <n v="0"/>
    <n v="0"/>
    <n v="0"/>
    <n v="0"/>
    <m/>
    <n v="0"/>
  </r>
  <r>
    <x v="7"/>
    <s v="Bowie State University "/>
    <s v="Met the criteria for Four-Year 3 in 2018-19 and 2019-20."/>
    <n v="162007"/>
    <x v="3"/>
    <n v="141638"/>
    <n v="146010"/>
    <n v="110627"/>
    <n v="51275"/>
    <n v="16"/>
    <n v="0"/>
    <n v="30995"/>
    <n v="0"/>
    <n v="0"/>
    <n v="94735"/>
    <n v="0"/>
    <n v="0"/>
    <n v="0"/>
    <n v="0"/>
    <n v="15058"/>
    <n v="15128"/>
    <n v="11689"/>
    <n v="5431"/>
    <n v="207"/>
    <n v="0"/>
    <n v="3162"/>
    <n v="0"/>
    <n v="0"/>
    <n v="9697"/>
    <n v="0"/>
    <n v="0"/>
    <n v="0"/>
    <n v="0"/>
  </r>
  <r>
    <x v="7"/>
    <s v="Coppin State University"/>
    <s v="Met the criteria for Four-Year 4 in 2019-20."/>
    <n v="162283"/>
    <x v="4"/>
    <n v="60266"/>
    <n v="56181"/>
    <n v="48082"/>
    <n v="42034"/>
    <n v="0"/>
    <n v="21"/>
    <n v="12184"/>
    <n v="0"/>
    <n v="0"/>
    <n v="14126"/>
    <n v="0"/>
    <n v="0"/>
    <n v="0"/>
    <n v="0"/>
    <n v="4591"/>
    <n v="3776"/>
    <n v="3883"/>
    <n v="2998"/>
    <n v="84"/>
    <n v="48"/>
    <n v="624"/>
    <n v="0"/>
    <n v="0"/>
    <n v="730"/>
    <n v="0"/>
    <n v="0"/>
    <n v="0"/>
    <n v="0"/>
  </r>
  <r>
    <x v="7"/>
    <s v="Frostburg State University "/>
    <m/>
    <n v="162584"/>
    <x v="3"/>
    <n v="122893"/>
    <n v="112015"/>
    <n v="92082"/>
    <n v="83175"/>
    <n v="2350"/>
    <n v="1717"/>
    <n v="28461"/>
    <n v="0"/>
    <n v="0"/>
    <n v="27123"/>
    <n v="0"/>
    <n v="0"/>
    <n v="0"/>
    <n v="0"/>
    <n v="12242"/>
    <n v="13518"/>
    <n v="4604"/>
    <n v="3818"/>
    <n v="1385"/>
    <n v="2593"/>
    <n v="6253"/>
    <n v="0"/>
    <n v="0"/>
    <n v="7107"/>
    <n v="0"/>
    <n v="0"/>
    <n v="0"/>
    <n v="0"/>
  </r>
  <r>
    <x v="7"/>
    <s v="Salisbury University "/>
    <m/>
    <n v="163851"/>
    <x v="3"/>
    <n v="226587"/>
    <n v="219186"/>
    <n v="192704"/>
    <n v="99471"/>
    <n v="2949"/>
    <n v="1325"/>
    <n v="22931"/>
    <n v="8003"/>
    <n v="0"/>
    <n v="89901"/>
    <n v="28489"/>
    <n v="0"/>
    <n v="0"/>
    <n v="0"/>
    <n v="15569"/>
    <n v="16561"/>
    <n v="2032"/>
    <n v="967"/>
    <n v="69"/>
    <n v="30"/>
    <n v="10338"/>
    <n v="3130"/>
    <n v="0"/>
    <n v="12055"/>
    <n v="3509"/>
    <n v="0"/>
    <n v="0"/>
    <n v="0"/>
  </r>
  <r>
    <x v="7"/>
    <s v="Towson University "/>
    <m/>
    <n v="164076"/>
    <x v="2"/>
    <n v="549406.5"/>
    <n v="539315"/>
    <n v="471443.5"/>
    <n v="285422"/>
    <n v="12031"/>
    <n v="6337"/>
    <n v="65878"/>
    <n v="54"/>
    <n v="0"/>
    <n v="247556"/>
    <n v="0"/>
    <n v="0"/>
    <n v="0"/>
    <n v="0"/>
    <n v="44384"/>
    <n v="44942"/>
    <n v="26883"/>
    <n v="18441.5"/>
    <n v="6884"/>
    <n v="3484"/>
    <n v="10617"/>
    <n v="0"/>
    <n v="0"/>
    <n v="23016.5"/>
    <n v="0"/>
    <n v="0"/>
    <n v="0"/>
    <n v="0"/>
  </r>
  <r>
    <x v="7"/>
    <s v="University of Baltimore"/>
    <m/>
    <n v="161873"/>
    <x v="2"/>
    <n v="49150"/>
    <n v="41180"/>
    <n v="32248"/>
    <n v="24214"/>
    <n v="1104"/>
    <n v="1074"/>
    <n v="15798"/>
    <n v="0"/>
    <n v="0"/>
    <n v="15892"/>
    <n v="0"/>
    <n v="0"/>
    <n v="0"/>
    <n v="0"/>
    <n v="40994.5"/>
    <n v="39419.5"/>
    <n v="29313"/>
    <n v="27661.5"/>
    <n v="1297"/>
    <n v="837"/>
    <n v="10384.5"/>
    <n v="0"/>
    <n v="0"/>
    <n v="10921"/>
    <n v="0"/>
    <n v="0"/>
    <n v="0"/>
    <n v="0"/>
  </r>
  <r>
    <x v="7"/>
    <s v="University of Maryland, Baltimore"/>
    <m/>
    <n v="163259"/>
    <x v="11"/>
    <n v="22681.5"/>
    <n v="22607"/>
    <n v="11379"/>
    <n v="11143"/>
    <n v="7408"/>
    <n v="7447"/>
    <n v="3894.5"/>
    <n v="0"/>
    <n v="0"/>
    <n v="4017"/>
    <n v="0"/>
    <n v="0"/>
    <n v="0"/>
    <n v="0"/>
    <n v="51874"/>
    <n v="77758"/>
    <n v="25949"/>
    <n v="38444"/>
    <n v="7355"/>
    <n v="17219"/>
    <n v="18305"/>
    <n v="265"/>
    <n v="0"/>
    <n v="10539"/>
    <n v="11556"/>
    <n v="0"/>
    <n v="0"/>
    <n v="0"/>
  </r>
  <r>
    <x v="7"/>
    <s v="University of Maryland, Baltimore County"/>
    <m/>
    <n v="163268"/>
    <x v="1"/>
    <n v="314288.5"/>
    <n v="314224.5"/>
    <n v="261271.5"/>
    <n v="118868"/>
    <n v="7504"/>
    <n v="3644"/>
    <n v="45513"/>
    <n v="0"/>
    <n v="0"/>
    <n v="191712.5"/>
    <n v="0"/>
    <n v="0"/>
    <n v="0"/>
    <n v="0"/>
    <n v="34824"/>
    <n v="36927"/>
    <n v="24228"/>
    <n v="12198"/>
    <n v="2594"/>
    <n v="1021"/>
    <n v="8002"/>
    <n v="0"/>
    <n v="0"/>
    <n v="23708"/>
    <n v="0"/>
    <n v="0"/>
    <n v="0"/>
    <n v="0"/>
  </r>
  <r>
    <x v="7"/>
    <s v="University of Maryland, College Park"/>
    <m/>
    <n v="163286"/>
    <x v="0"/>
    <n v="871990"/>
    <n v="883046"/>
    <n v="807620"/>
    <n v="435071"/>
    <n v="16044"/>
    <n v="8141"/>
    <n v="47510"/>
    <n v="816"/>
    <n v="0"/>
    <n v="439462"/>
    <n v="372"/>
    <n v="0"/>
    <n v="0"/>
    <n v="0"/>
    <n v="154217"/>
    <n v="150008"/>
    <n v="116229"/>
    <n v="76767"/>
    <n v="17969"/>
    <n v="11771"/>
    <n v="19674"/>
    <n v="345"/>
    <n v="0"/>
    <n v="61318"/>
    <n v="152"/>
    <n v="0"/>
    <n v="0"/>
    <n v="0"/>
  </r>
  <r>
    <x v="7"/>
    <s v="University of Maryland Eastern Shore "/>
    <m/>
    <n v="163338"/>
    <x v="3"/>
    <n v="68761"/>
    <n v="61666"/>
    <n v="55630.5"/>
    <n v="37506"/>
    <n v="1098.5"/>
    <n v="683.5"/>
    <n v="12032"/>
    <n v="0"/>
    <n v="0"/>
    <n v="23476.5"/>
    <n v="0"/>
    <n v="0"/>
    <n v="0"/>
    <n v="0"/>
    <n v="15411.5"/>
    <n v="15529.5"/>
    <n v="14367.5"/>
    <n v="11465"/>
    <n v="360"/>
    <n v="213"/>
    <n v="684"/>
    <n v="0"/>
    <n v="0"/>
    <n v="3851.5"/>
    <n v="0"/>
    <n v="0"/>
    <n v="0"/>
    <n v="0"/>
  </r>
  <r>
    <x v="7"/>
    <s v="University of Maryland Global Campus"/>
    <m/>
    <n v="163204"/>
    <x v="11"/>
    <n v="812451"/>
    <n v="868447"/>
    <n v="0"/>
    <n v="0"/>
    <n v="36867"/>
    <n v="29413"/>
    <n v="775584"/>
    <n v="0"/>
    <n v="0"/>
    <n v="839034"/>
    <n v="0"/>
    <n v="0"/>
    <n v="0"/>
    <n v="0"/>
    <n v="192417"/>
    <n v="189581"/>
    <n v="0"/>
    <n v="0"/>
    <n v="2868"/>
    <n v="3480"/>
    <n v="189549"/>
    <n v="0"/>
    <n v="0"/>
    <n v="186101"/>
    <n v="0"/>
    <n v="0"/>
    <n v="0"/>
    <n v="0"/>
  </r>
  <r>
    <x v="7"/>
    <s v="Morgan State University"/>
    <m/>
    <n v="163453"/>
    <x v="1"/>
    <n v="184511"/>
    <n v="182089"/>
    <n v="163691"/>
    <n v="147893"/>
    <n v="88"/>
    <n v="63"/>
    <n v="20732"/>
    <n v="0"/>
    <n v="0"/>
    <n v="34133"/>
    <n v="0"/>
    <n v="0"/>
    <n v="0"/>
    <n v="0"/>
    <n v="24608"/>
    <n v="25251"/>
    <n v="19131"/>
    <n v="18852"/>
    <n v="63"/>
    <n v="27"/>
    <n v="5414"/>
    <n v="0"/>
    <n v="0"/>
    <n v="6372"/>
    <n v="0"/>
    <n v="0"/>
    <n v="0"/>
    <n v="0"/>
  </r>
  <r>
    <x v="7"/>
    <s v="Saint Mary's College of Maryland"/>
    <m/>
    <n v="163912"/>
    <x v="5"/>
    <n v="46862"/>
    <n v="46411.5"/>
    <n v="46630"/>
    <n v="35938.5"/>
    <n v="0"/>
    <n v="0"/>
    <n v="232"/>
    <n v="0"/>
    <n v="0"/>
    <n v="10473"/>
    <n v="0"/>
    <n v="0"/>
    <n v="0"/>
    <n v="0"/>
    <n v="1122"/>
    <n v="889"/>
    <n v="1122"/>
    <n v="292"/>
    <n v="0"/>
    <n v="0"/>
    <n v="0"/>
    <n v="0"/>
    <n v="0"/>
    <n v="597"/>
    <n v="0"/>
    <n v="0"/>
    <n v="0"/>
    <n v="0"/>
  </r>
  <r>
    <x v="8"/>
    <s v="Mississippi State University"/>
    <m/>
    <n v="176080"/>
    <x v="0"/>
    <n v="538054"/>
    <n v="549213"/>
    <n v="486740"/>
    <n v="342357"/>
    <n v="8441"/>
    <n v="5633"/>
    <n v="42532"/>
    <n v="339"/>
    <m/>
    <n v="200977"/>
    <n v="246"/>
    <m/>
    <n v="2"/>
    <m/>
    <n v="54242"/>
    <n v="61690"/>
    <n v="36980"/>
    <n v="27861"/>
    <n v="1943"/>
    <n v="685"/>
    <n v="15047"/>
    <n v="272"/>
    <m/>
    <n v="32946"/>
    <n v="198"/>
    <m/>
    <m/>
    <m/>
  </r>
  <r>
    <x v="8"/>
    <s v="University of Mississippi"/>
    <m/>
    <n v="176017"/>
    <x v="0"/>
    <n v="530980"/>
    <n v="501424"/>
    <n v="408069"/>
    <n v="242260"/>
    <n v="30080"/>
    <n v="28569"/>
    <n v="78296"/>
    <n v="9305"/>
    <m/>
    <n v="220926"/>
    <n v="5319"/>
    <m/>
    <n v="5230"/>
    <n v="4350"/>
    <n v="69659"/>
    <n v="72959"/>
    <n v="61177"/>
    <n v="52519"/>
    <n v="712"/>
    <n v="588"/>
    <n v="6822"/>
    <n v="864"/>
    <m/>
    <n v="19282"/>
    <n v="516"/>
    <m/>
    <n v="84"/>
    <n v="54"/>
  </r>
  <r>
    <x v="8"/>
    <s v="University of Southern Mississippi"/>
    <m/>
    <n v="176372"/>
    <x v="0"/>
    <n v="333866"/>
    <n v="330945"/>
    <n v="204149"/>
    <n v="124697"/>
    <n v="22389"/>
    <n v="12144"/>
    <n v="104430"/>
    <n v="2898"/>
    <m/>
    <n v="190809"/>
    <n v="3295"/>
    <m/>
    <m/>
    <m/>
    <n v="48532"/>
    <n v="53687"/>
    <n v="25910"/>
    <n v="18776"/>
    <n v="3662"/>
    <n v="2650"/>
    <n v="18696"/>
    <n v="264"/>
    <m/>
    <n v="31858"/>
    <n v="403"/>
    <m/>
    <m/>
    <m/>
  </r>
  <r>
    <x v="8"/>
    <s v="Jackson State University "/>
    <m/>
    <n v="175856"/>
    <x v="1"/>
    <n v="142216"/>
    <n v="132288.5"/>
    <n v="93305"/>
    <n v="47090"/>
    <n v="2755"/>
    <n v="1043"/>
    <n v="46156"/>
    <m/>
    <m/>
    <n v="84155.5"/>
    <m/>
    <m/>
    <m/>
    <m/>
    <n v="29693"/>
    <n v="34452"/>
    <n v="8824"/>
    <n v="7469"/>
    <n v="4805"/>
    <n v="2921"/>
    <n v="16064"/>
    <m/>
    <m/>
    <n v="24062"/>
    <m/>
    <m/>
    <m/>
    <m/>
  </r>
  <r>
    <x v="8"/>
    <s v="Alcorn State University"/>
    <m/>
    <n v="175342"/>
    <x v="3"/>
    <n v="92149"/>
    <n v="83038"/>
    <n v="57342"/>
    <n v="52245"/>
    <n v="2313"/>
    <n v="2015"/>
    <n v="32465"/>
    <m/>
    <n v="29"/>
    <n v="28778"/>
    <m/>
    <m/>
    <m/>
    <m/>
    <n v="7708"/>
    <n v="7702"/>
    <n v="1093"/>
    <n v="1374"/>
    <n v="324"/>
    <n v="95"/>
    <n v="6291"/>
    <m/>
    <m/>
    <n v="6233"/>
    <m/>
    <m/>
    <m/>
    <m/>
  </r>
  <r>
    <x v="8"/>
    <s v="Delta State University"/>
    <m/>
    <n v="175616"/>
    <x v="3"/>
    <n v="73223"/>
    <n v="64119"/>
    <n v="49459"/>
    <n v="37105"/>
    <n v="7184"/>
    <n v="4816"/>
    <n v="16577"/>
    <s v=" "/>
    <n v="3"/>
    <n v="22192"/>
    <m/>
    <n v="6"/>
    <m/>
    <m/>
    <n v="15719"/>
    <n v="16781"/>
    <n v="2523"/>
    <n v="1189"/>
    <n v="9"/>
    <n v="18"/>
    <n v="13172"/>
    <m/>
    <n v="15"/>
    <n v="15559"/>
    <m/>
    <n v="15"/>
    <m/>
    <m/>
  </r>
  <r>
    <x v="8"/>
    <s v="Mississippi University for Women"/>
    <s v="Reclassified: Met the criteria for Four-Year 4 in 2017-18, 2018-19, and 2019-20."/>
    <n v="176035"/>
    <x v="3"/>
    <n v="71868"/>
    <n v="71875"/>
    <n v="31594"/>
    <n v="21683"/>
    <n v="86"/>
    <m/>
    <n v="40188"/>
    <m/>
    <m/>
    <n v="50192"/>
    <m/>
    <m/>
    <m/>
    <m/>
    <n v="4550"/>
    <n v="5547"/>
    <n v="2435"/>
    <n v="2043"/>
    <n v="0"/>
    <m/>
    <n v="2115"/>
    <m/>
    <m/>
    <n v="3504"/>
    <m/>
    <m/>
    <m/>
    <m/>
  </r>
  <r>
    <x v="8"/>
    <s v="Mississippi Valley State University"/>
    <m/>
    <n v="176044"/>
    <x v="3"/>
    <n v="47617.7"/>
    <n v="44044"/>
    <n v="33847"/>
    <n v="27314"/>
    <n v="146.69999999999999"/>
    <n v="168"/>
    <n v="12796"/>
    <m/>
    <m/>
    <n v="16151"/>
    <m/>
    <m/>
    <n v="828"/>
    <n v="411"/>
    <n v="4978"/>
    <n v="5147"/>
    <n v="1690"/>
    <n v="1692"/>
    <n v="0"/>
    <n v="0"/>
    <n v="3237"/>
    <m/>
    <m/>
    <n v="3329"/>
    <m/>
    <m/>
    <n v="51"/>
    <n v="126"/>
  </r>
  <r>
    <x v="8"/>
    <m/>
    <m/>
    <m/>
    <x v="12"/>
    <n v="0"/>
    <n v="0"/>
    <m/>
    <m/>
    <m/>
    <m/>
    <m/>
    <m/>
    <m/>
    <m/>
    <m/>
    <m/>
    <m/>
    <m/>
    <n v="0"/>
    <n v="0"/>
    <m/>
    <m/>
    <m/>
    <m/>
    <m/>
    <m/>
    <m/>
    <m/>
    <m/>
    <m/>
    <m/>
    <m/>
  </r>
  <r>
    <x v="9"/>
    <s v="North Carolina State University "/>
    <m/>
    <n v="199193"/>
    <x v="0"/>
    <n v="728588"/>
    <n v="748338"/>
    <n v="601662"/>
    <n v="376034"/>
    <n v="11489"/>
    <n v="5684"/>
    <n v="115437"/>
    <n v="0"/>
    <n v="0"/>
    <n v="366620"/>
    <n v="0"/>
    <n v="0"/>
    <m/>
    <m/>
    <n v="174613.5"/>
    <n v="169350"/>
    <n v="133319.5"/>
    <n v="96770"/>
    <n v="4070"/>
    <n v="3286"/>
    <n v="37224"/>
    <n v="0"/>
    <n v="0"/>
    <n v="69294"/>
    <n v="0"/>
    <n v="0"/>
    <m/>
    <m/>
  </r>
  <r>
    <x v="9"/>
    <s v="University of North Carolina at Chapel Hill "/>
    <m/>
    <n v="199120"/>
    <x v="0"/>
    <n v="545593"/>
    <n v="564392"/>
    <n v="520370.5"/>
    <n v="246504"/>
    <n v="5593.5"/>
    <n v="1640"/>
    <n v="19629"/>
    <n v="0"/>
    <n v="0"/>
    <n v="316248"/>
    <n v="0"/>
    <n v="0"/>
    <m/>
    <m/>
    <n v="197901.5"/>
    <n v="188469"/>
    <n v="171655"/>
    <n v="100228"/>
    <n v="819"/>
    <n v="1170"/>
    <n v="25391.5"/>
    <n v="36"/>
    <n v="0"/>
    <n v="87026"/>
    <n v="45"/>
    <n v="0"/>
    <m/>
    <m/>
  </r>
  <r>
    <x v="9"/>
    <s v="University of North Carolina at Charlotte"/>
    <m/>
    <n v="199139"/>
    <x v="0"/>
    <n v="682569"/>
    <n v="690594"/>
    <n v="582198"/>
    <n v="337138"/>
    <n v="0"/>
    <m/>
    <n v="100244"/>
    <n v="127"/>
    <n v="0"/>
    <n v="353388"/>
    <n v="68"/>
    <n v="0"/>
    <m/>
    <m/>
    <n v="87196"/>
    <n v="93922"/>
    <n v="66366"/>
    <n v="43605"/>
    <n v="0"/>
    <n v="0"/>
    <n v="20814"/>
    <n v="16"/>
    <n v="0"/>
    <n v="50299"/>
    <n v="18"/>
    <n v="0"/>
    <m/>
    <m/>
  </r>
  <r>
    <x v="9"/>
    <s v="University of North Carolina at Greensboro"/>
    <m/>
    <n v="199148"/>
    <x v="0"/>
    <n v="461447"/>
    <n v="451281"/>
    <n v="330797"/>
    <n v="219440"/>
    <n v="3788"/>
    <n v="1265"/>
    <n v="126862"/>
    <n v="0"/>
    <n v="0"/>
    <n v="230576"/>
    <n v="0"/>
    <n v="0"/>
    <m/>
    <m/>
    <n v="61041.5"/>
    <n v="61324"/>
    <n v="37026.5"/>
    <n v="26409"/>
    <n v="3483"/>
    <n v="3398"/>
    <n v="20528"/>
    <n v="4"/>
    <n v="0"/>
    <n v="31517"/>
    <n v="0"/>
    <n v="0"/>
    <m/>
    <m/>
  </r>
  <r>
    <x v="9"/>
    <s v="East Carolina University "/>
    <m/>
    <n v="198464"/>
    <x v="1"/>
    <n v="641242"/>
    <n v="633192"/>
    <n v="486716"/>
    <n v="307281"/>
    <n v="5587"/>
    <n v="2174"/>
    <n v="148140"/>
    <n v="799"/>
    <n v="0"/>
    <n v="323262"/>
    <n v="475"/>
    <n v="0"/>
    <m/>
    <m/>
    <n v="87185"/>
    <n v="89463"/>
    <n v="31719"/>
    <n v="23925"/>
    <n v="1264"/>
    <n v="684"/>
    <n v="54178"/>
    <n v="24"/>
    <n v="0"/>
    <n v="64796"/>
    <n v="58"/>
    <n v="0"/>
    <m/>
    <m/>
  </r>
  <r>
    <x v="9"/>
    <s v="Appalachian State University "/>
    <m/>
    <n v="197869"/>
    <x v="2"/>
    <n v="527992"/>
    <n v="538447"/>
    <n v="469508"/>
    <n v="242152"/>
    <n v="3194"/>
    <n v="2095"/>
    <n v="55290"/>
    <n v="0"/>
    <n v="0"/>
    <n v="294200"/>
    <n v="0"/>
    <n v="0"/>
    <m/>
    <m/>
    <n v="33977"/>
    <n v="35903"/>
    <n v="21511"/>
    <n v="12438"/>
    <n v="1391"/>
    <n v="602"/>
    <n v="11075"/>
    <n v="0"/>
    <n v="0"/>
    <n v="22863"/>
    <n v="0"/>
    <n v="0"/>
    <m/>
    <m/>
  </r>
  <r>
    <x v="9"/>
    <s v="North Carolina A&amp;T State University"/>
    <s v="Met the criteria for Four-Year 2 in 2019-20 and 2020-21."/>
    <n v="199102"/>
    <x v="2"/>
    <n v="310172"/>
    <n v="318801"/>
    <n v="264181"/>
    <n v="170801"/>
    <n v="286"/>
    <n v="106"/>
    <n v="45705"/>
    <n v="0"/>
    <n v="0"/>
    <n v="147894"/>
    <n v="0"/>
    <n v="0"/>
    <m/>
    <m/>
    <n v="25042"/>
    <n v="26078"/>
    <n v="15932"/>
    <n v="11425"/>
    <n v="1081"/>
    <n v="384"/>
    <n v="8029"/>
    <n v="0"/>
    <n v="0"/>
    <n v="14269"/>
    <n v="0"/>
    <n v="0"/>
    <m/>
    <m/>
  </r>
  <r>
    <x v="9"/>
    <s v="North Carolina Central University "/>
    <m/>
    <n v="199157"/>
    <x v="2"/>
    <n v="174006"/>
    <n v="167214"/>
    <n v="131580.5"/>
    <n v="72208"/>
    <n v="271.5"/>
    <n v="41557"/>
    <n v="42154"/>
    <n v="0"/>
    <n v="0"/>
    <n v="53449"/>
    <n v="0"/>
    <n v="0"/>
    <m/>
    <m/>
    <n v="38432.5"/>
    <n v="40293"/>
    <n v="25762.5"/>
    <n v="13806"/>
    <n v="20"/>
    <n v="9167"/>
    <n v="12650"/>
    <n v="0"/>
    <n v="0"/>
    <n v="17320"/>
    <n v="0"/>
    <n v="0"/>
    <m/>
    <m/>
  </r>
  <r>
    <x v="9"/>
    <s v="University of North Carolina at Wilmington"/>
    <m/>
    <n v="199218"/>
    <x v="2"/>
    <n v="414692.5"/>
    <n v="420032"/>
    <n v="298967.5"/>
    <n v="159299"/>
    <n v="6323"/>
    <n v="4960"/>
    <n v="109291"/>
    <n v="111"/>
    <n v="0"/>
    <n v="255620"/>
    <n v="153"/>
    <n v="0"/>
    <m/>
    <m/>
    <n v="43696.5"/>
    <n v="53183"/>
    <n v="15973.5"/>
    <n v="9580"/>
    <n v="843"/>
    <n v="944"/>
    <n v="26880"/>
    <n v="0"/>
    <n v="0"/>
    <n v="42659"/>
    <n v="0"/>
    <n v="0"/>
    <m/>
    <m/>
  </r>
  <r>
    <x v="9"/>
    <s v="Western Carolina University "/>
    <m/>
    <n v="200004"/>
    <x v="2"/>
    <n v="288700"/>
    <n v="289054"/>
    <n v="229718"/>
    <n v="136957"/>
    <n v="3122"/>
    <n v="978"/>
    <n v="55854"/>
    <n v="6"/>
    <n v="0"/>
    <n v="151113"/>
    <n v="6"/>
    <n v="0"/>
    <m/>
    <m/>
    <n v="32672"/>
    <n v="33839"/>
    <n v="10779"/>
    <n v="7432"/>
    <n v="7814"/>
    <n v="4898"/>
    <n v="14079"/>
    <n v="0"/>
    <n v="0"/>
    <n v="21509"/>
    <n v="0"/>
    <n v="0"/>
    <m/>
    <m/>
  </r>
  <r>
    <x v="9"/>
    <s v="Fayetteville State University "/>
    <m/>
    <n v="198543"/>
    <x v="3"/>
    <n v="150115"/>
    <n v="150073"/>
    <n v="82139"/>
    <n v="55535"/>
    <n v="487"/>
    <n v="220"/>
    <n v="67489"/>
    <n v="0"/>
    <n v="0"/>
    <n v="94288"/>
    <n v="30"/>
    <n v="0"/>
    <m/>
    <m/>
    <n v="14338"/>
    <n v="17585"/>
    <n v="4773"/>
    <n v="3850"/>
    <n v="0"/>
    <n v="0"/>
    <n v="9565"/>
    <n v="0"/>
    <n v="0"/>
    <n v="13732"/>
    <n v="3"/>
    <n v="0"/>
    <m/>
    <m/>
  </r>
  <r>
    <x v="9"/>
    <s v="University of North Carolina at Pembroke"/>
    <m/>
    <n v="199281"/>
    <x v="4"/>
    <n v="170420"/>
    <n v="173315"/>
    <n v="111719"/>
    <n v="80625"/>
    <n v="1245"/>
    <n v="849"/>
    <n v="57279"/>
    <n v="177"/>
    <n v="0"/>
    <n v="91819"/>
    <n v="22"/>
    <n v="0"/>
    <m/>
    <m/>
    <n v="22171"/>
    <n v="29760"/>
    <n v="5067"/>
    <n v="2882"/>
    <n v="984"/>
    <n v="504"/>
    <n v="16087"/>
    <n v="33"/>
    <n v="0"/>
    <n v="26371"/>
    <n v="3"/>
    <n v="0"/>
    <m/>
    <m/>
  </r>
  <r>
    <x v="9"/>
    <s v="Winston-Salem State University "/>
    <m/>
    <n v="199999"/>
    <x v="4"/>
    <n v="132430"/>
    <n v="134521"/>
    <n v="101340"/>
    <n v="64587"/>
    <n v="6"/>
    <n v="115"/>
    <n v="22317"/>
    <n v="0"/>
    <n v="8767"/>
    <n v="63898"/>
    <n v="0"/>
    <n v="5921"/>
    <m/>
    <m/>
    <n v="11013"/>
    <n v="10880"/>
    <n v="6336"/>
    <n v="3757"/>
    <n v="87"/>
    <n v="168"/>
    <n v="3106"/>
    <n v="0"/>
    <n v="1484"/>
    <n v="5907"/>
    <n v="0"/>
    <n v="1048"/>
    <m/>
    <m/>
  </r>
  <r>
    <x v="9"/>
    <s v="Elizabeth City State University "/>
    <m/>
    <n v="198507"/>
    <x v="5"/>
    <n v="46357"/>
    <n v="50671"/>
    <n v="36646"/>
    <n v="28209"/>
    <n v="172"/>
    <n v="196"/>
    <n v="9401"/>
    <n v="138"/>
    <n v="0"/>
    <n v="22152"/>
    <n v="114"/>
    <n v="0"/>
    <m/>
    <m/>
    <n v="1228"/>
    <n v="1578"/>
    <n v="399"/>
    <n v="470"/>
    <n v="0"/>
    <n v="0"/>
    <n v="829"/>
    <n v="0"/>
    <n v="0"/>
    <n v="1108"/>
    <n v="0"/>
    <n v="0"/>
    <m/>
    <m/>
  </r>
  <r>
    <x v="9"/>
    <s v="University of North Carolina at Asheville"/>
    <m/>
    <n v="199111"/>
    <x v="5"/>
    <n v="98978"/>
    <n v="96139"/>
    <n v="94924"/>
    <n v="66128"/>
    <n v="773"/>
    <n v="343"/>
    <n v="1050"/>
    <n v="2231"/>
    <n v="0"/>
    <n v="27613"/>
    <n v="2055"/>
    <n v="0"/>
    <m/>
    <m/>
    <n v="213"/>
    <n v="81"/>
    <n v="213"/>
    <n v="69"/>
    <n v="0"/>
    <n v="0"/>
    <n v="0"/>
    <n v="0"/>
    <n v="0"/>
    <n v="12"/>
    <n v="0"/>
    <n v="0"/>
    <m/>
    <m/>
  </r>
  <r>
    <x v="9"/>
    <s v="University of North Carolina School of the Arts"/>
    <m/>
    <n v="199184"/>
    <x v="11"/>
    <n v="27437"/>
    <n v="26718"/>
    <n v="26729"/>
    <n v="21601"/>
    <n v="0"/>
    <m/>
    <n v="708"/>
    <n v="0"/>
    <n v="0"/>
    <n v="5117"/>
    <n v="0"/>
    <n v="0"/>
    <m/>
    <m/>
    <n v="3822"/>
    <n v="3672"/>
    <n v="3810"/>
    <n v="3222"/>
    <n v="0"/>
    <n v="0"/>
    <n v="12"/>
    <n v="0"/>
    <n v="0"/>
    <n v="450"/>
    <n v="0"/>
    <n v="0"/>
    <m/>
    <m/>
  </r>
  <r>
    <x v="9"/>
    <s v="Asheville-Buncombe Technical Community College"/>
    <m/>
    <n v="197887"/>
    <x v="6"/>
    <n v="130252"/>
    <n v="125776"/>
    <n v="71398"/>
    <n v="60878"/>
    <n v="11798"/>
    <n v="8244"/>
    <n v="46950"/>
    <n v="106"/>
    <n v="0"/>
    <n v="56654"/>
    <n v="0"/>
    <n v="0"/>
    <m/>
    <m/>
    <n v="0"/>
    <n v="0"/>
    <m/>
    <m/>
    <m/>
    <m/>
    <m/>
    <m/>
    <m/>
    <m/>
    <m/>
    <m/>
    <m/>
    <m/>
  </r>
  <r>
    <x v="9"/>
    <s v="Cape Fear Community College"/>
    <m/>
    <n v="198154"/>
    <x v="6"/>
    <n v="180199"/>
    <n v="189160.5"/>
    <n v="109834"/>
    <n v="76476.5"/>
    <n v="1058"/>
    <n v="2735"/>
    <n v="69307"/>
    <n v="0"/>
    <n v="0"/>
    <n v="109949"/>
    <n v="0"/>
    <n v="0"/>
    <m/>
    <m/>
    <n v="0"/>
    <n v="0"/>
    <m/>
    <m/>
    <m/>
    <m/>
    <m/>
    <m/>
    <m/>
    <m/>
    <m/>
    <m/>
    <m/>
    <m/>
  </r>
  <r>
    <x v="9"/>
    <s v="Central Piedmont Community College "/>
    <m/>
    <n v="198260"/>
    <x v="6"/>
    <n v="394333.5"/>
    <n v="383116.5"/>
    <n v="233449.5"/>
    <n v="122853.5"/>
    <n v="8849"/>
    <n v="3393"/>
    <n v="152035"/>
    <n v="0"/>
    <n v="0"/>
    <n v="256870"/>
    <n v="0"/>
    <n v="0"/>
    <m/>
    <m/>
    <n v="0"/>
    <n v="0"/>
    <m/>
    <m/>
    <m/>
    <m/>
    <m/>
    <m/>
    <m/>
    <m/>
    <m/>
    <m/>
    <m/>
    <m/>
  </r>
  <r>
    <x v="9"/>
    <s v="Fayetteville Technical Community College"/>
    <m/>
    <n v="198534"/>
    <x v="6"/>
    <n v="253004"/>
    <n v="239260"/>
    <n v="104447"/>
    <n v="69327"/>
    <n v="0"/>
    <n v="0"/>
    <n v="148557"/>
    <n v="0"/>
    <n v="0"/>
    <n v="169933"/>
    <n v="0"/>
    <n v="0"/>
    <m/>
    <m/>
    <n v="0"/>
    <n v="0"/>
    <m/>
    <m/>
    <m/>
    <m/>
    <m/>
    <m/>
    <m/>
    <m/>
    <m/>
    <m/>
    <m/>
    <m/>
  </r>
  <r>
    <x v="9"/>
    <s v="Forsyth Technical Community College"/>
    <m/>
    <n v="198552"/>
    <x v="6"/>
    <n v="163779"/>
    <n v="163349"/>
    <n v="91103"/>
    <n v="59150"/>
    <n v="6274"/>
    <n v="4307"/>
    <n v="66187"/>
    <n v="215"/>
    <n v="0"/>
    <n v="99892"/>
    <n v="0"/>
    <n v="0"/>
    <m/>
    <m/>
    <n v="0"/>
    <n v="0"/>
    <m/>
    <m/>
    <m/>
    <m/>
    <m/>
    <m/>
    <m/>
    <m/>
    <m/>
    <m/>
    <m/>
    <m/>
  </r>
  <r>
    <x v="9"/>
    <s v="Guilford Technical Community College"/>
    <m/>
    <n v="198622"/>
    <x v="6"/>
    <n v="223250"/>
    <n v="227481.5"/>
    <n v="138834"/>
    <n v="88450.5"/>
    <n v="3857"/>
    <n v="2988"/>
    <n v="80559"/>
    <n v="0"/>
    <n v="0"/>
    <n v="136043"/>
    <n v="0"/>
    <n v="0"/>
    <m/>
    <m/>
    <n v="0"/>
    <n v="0"/>
    <m/>
    <m/>
    <m/>
    <m/>
    <m/>
    <m/>
    <m/>
    <m/>
    <m/>
    <m/>
    <m/>
    <m/>
  </r>
  <r>
    <x v="9"/>
    <s v="Pitt Community College"/>
    <m/>
    <n v="199333"/>
    <x v="6"/>
    <n v="176993"/>
    <n v="171383"/>
    <n v="69851"/>
    <n v="48719"/>
    <n v="12025"/>
    <n v="7560"/>
    <n v="94982"/>
    <n v="135"/>
    <n v="0"/>
    <n v="115104"/>
    <n v="0"/>
    <n v="0"/>
    <m/>
    <m/>
    <n v="0"/>
    <n v="0"/>
    <m/>
    <m/>
    <m/>
    <m/>
    <m/>
    <m/>
    <m/>
    <m/>
    <m/>
    <m/>
    <m/>
    <m/>
  </r>
  <r>
    <x v="9"/>
    <s v="Rowan-Cabarrus Community College"/>
    <m/>
    <n v="199494"/>
    <x v="6"/>
    <n v="127826"/>
    <n v="130203"/>
    <n v="53927"/>
    <n v="44917"/>
    <n v="8939"/>
    <n v="9881"/>
    <n v="64960"/>
    <n v="0"/>
    <n v="0"/>
    <n v="75405"/>
    <n v="0"/>
    <n v="0"/>
    <m/>
    <m/>
    <n v="0"/>
    <n v="0"/>
    <m/>
    <m/>
    <m/>
    <m/>
    <m/>
    <m/>
    <m/>
    <m/>
    <m/>
    <m/>
    <m/>
    <m/>
  </r>
  <r>
    <x v="9"/>
    <s v="Wake Technical Community College"/>
    <m/>
    <n v="199856"/>
    <x v="6"/>
    <n v="451813"/>
    <n v="460892"/>
    <n v="248494"/>
    <n v="124907"/>
    <n v="5393"/>
    <n v="3735"/>
    <n v="197926"/>
    <n v="0"/>
    <n v="0"/>
    <n v="332250"/>
    <n v="0"/>
    <n v="0"/>
    <m/>
    <m/>
    <n v="0"/>
    <n v="0"/>
    <m/>
    <m/>
    <m/>
    <m/>
    <m/>
    <m/>
    <m/>
    <m/>
    <m/>
    <m/>
    <m/>
    <m/>
  </r>
  <r>
    <x v="9"/>
    <s v="Alamance Community College"/>
    <m/>
    <n v="199786"/>
    <x v="7"/>
    <n v="85399.5"/>
    <n v="86423.5"/>
    <n v="48328.5"/>
    <n v="23367.5"/>
    <n v="4868"/>
    <n v="2919"/>
    <n v="32203"/>
    <n v="0"/>
    <n v="0"/>
    <n v="60137"/>
    <n v="0"/>
    <n v="0"/>
    <m/>
    <m/>
    <n v="0"/>
    <n v="0"/>
    <m/>
    <m/>
    <m/>
    <m/>
    <m/>
    <m/>
    <m/>
    <m/>
    <m/>
    <m/>
    <m/>
    <m/>
  </r>
  <r>
    <x v="9"/>
    <s v="Caldwell Community College &amp; Technical Institute"/>
    <m/>
    <n v="198118"/>
    <x v="7"/>
    <n v="73103"/>
    <n v="77344"/>
    <n v="39452"/>
    <n v="20152"/>
    <n v="4089"/>
    <n v="3829"/>
    <n v="27325"/>
    <n v="2237"/>
    <n v="0"/>
    <n v="53363"/>
    <n v="0"/>
    <n v="0"/>
    <m/>
    <m/>
    <n v="0"/>
    <n v="0"/>
    <m/>
    <m/>
    <m/>
    <m/>
    <m/>
    <m/>
    <m/>
    <m/>
    <m/>
    <m/>
    <m/>
    <m/>
  </r>
  <r>
    <x v="9"/>
    <s v="Catawba Valley Community College"/>
    <m/>
    <n v="198233"/>
    <x v="7"/>
    <n v="95883"/>
    <n v="94630"/>
    <n v="46866"/>
    <n v="27914"/>
    <n v="5585"/>
    <n v="12580"/>
    <n v="43432"/>
    <n v="0"/>
    <n v="0"/>
    <n v="54136"/>
    <n v="0"/>
    <n v="0"/>
    <m/>
    <m/>
    <n v="0"/>
    <n v="0"/>
    <m/>
    <m/>
    <m/>
    <m/>
    <m/>
    <m/>
    <m/>
    <m/>
    <m/>
    <m/>
    <m/>
    <m/>
  </r>
  <r>
    <x v="9"/>
    <s v="Central Carolina Commuity College"/>
    <m/>
    <n v="198251"/>
    <x v="7"/>
    <n v="106062"/>
    <n v="109789"/>
    <n v="48987"/>
    <n v="27689"/>
    <n v="6291"/>
    <n v="9838"/>
    <n v="50245"/>
    <n v="539"/>
    <n v="0"/>
    <n v="72262"/>
    <n v="0"/>
    <n v="0"/>
    <m/>
    <m/>
    <n v="0"/>
    <n v="0"/>
    <m/>
    <m/>
    <m/>
    <m/>
    <m/>
    <m/>
    <m/>
    <m/>
    <m/>
    <m/>
    <m/>
    <m/>
  </r>
  <r>
    <x v="9"/>
    <s v="Cleveland Community College"/>
    <m/>
    <n v="198321"/>
    <x v="7"/>
    <n v="52901"/>
    <n v="53586"/>
    <n v="16727"/>
    <n v="17098"/>
    <n v="7442"/>
    <n v="6795"/>
    <n v="28717"/>
    <n v="15"/>
    <n v="0"/>
    <n v="29693"/>
    <n v="0"/>
    <n v="0"/>
    <m/>
    <m/>
    <n v="0"/>
    <n v="0"/>
    <m/>
    <m/>
    <m/>
    <m/>
    <m/>
    <m/>
    <m/>
    <m/>
    <m/>
    <m/>
    <m/>
    <m/>
  </r>
  <r>
    <x v="9"/>
    <s v="Coastal Carolina Community College "/>
    <m/>
    <n v="198330"/>
    <x v="7"/>
    <n v="89584"/>
    <n v="87823"/>
    <n v="57191"/>
    <n v="39011"/>
    <n v="5381"/>
    <n v="4424"/>
    <n v="27012"/>
    <n v="0"/>
    <n v="0"/>
    <n v="44388"/>
    <n v="0"/>
    <n v="0"/>
    <m/>
    <m/>
    <n v="0"/>
    <n v="0"/>
    <m/>
    <m/>
    <m/>
    <m/>
    <m/>
    <m/>
    <m/>
    <m/>
    <m/>
    <m/>
    <m/>
    <m/>
  </r>
  <r>
    <x v="9"/>
    <s v="Craven Community College "/>
    <m/>
    <n v="198367"/>
    <x v="7"/>
    <n v="59283"/>
    <n v="58358"/>
    <n v="27933"/>
    <n v="12130"/>
    <n v="1580"/>
    <n v="12873"/>
    <n v="29770"/>
    <n v="0"/>
    <n v="0"/>
    <n v="33355"/>
    <n v="0"/>
    <n v="0"/>
    <m/>
    <m/>
    <n v="0"/>
    <n v="0"/>
    <m/>
    <m/>
    <m/>
    <m/>
    <m/>
    <m/>
    <m/>
    <m/>
    <m/>
    <m/>
    <m/>
    <m/>
  </r>
  <r>
    <x v="9"/>
    <s v="Davidson-Davie Community College"/>
    <m/>
    <n v="198376"/>
    <x v="7"/>
    <n v="73191"/>
    <n v="76752"/>
    <n v="32904"/>
    <n v="33609"/>
    <n v="841"/>
    <n v="2996"/>
    <n v="39446"/>
    <n v="0"/>
    <n v="0"/>
    <n v="40147"/>
    <n v="0"/>
    <n v="0"/>
    <m/>
    <m/>
    <n v="0"/>
    <n v="0"/>
    <m/>
    <m/>
    <m/>
    <m/>
    <m/>
    <m/>
    <m/>
    <m/>
    <m/>
    <m/>
    <m/>
    <m/>
  </r>
  <r>
    <x v="9"/>
    <s v="Durham Technical Community College"/>
    <m/>
    <n v="198455"/>
    <x v="7"/>
    <n v="104211"/>
    <n v="106093"/>
    <n v="64146"/>
    <n v="30662"/>
    <n v="3161"/>
    <n v="5173"/>
    <n v="36904"/>
    <n v="0"/>
    <n v="0"/>
    <n v="70258"/>
    <n v="0"/>
    <n v="0"/>
    <m/>
    <m/>
    <n v="0"/>
    <n v="0"/>
    <m/>
    <m/>
    <m/>
    <m/>
    <m/>
    <m/>
    <m/>
    <m/>
    <m/>
    <m/>
    <m/>
    <m/>
  </r>
  <r>
    <x v="9"/>
    <s v="Gaston College "/>
    <m/>
    <n v="198570"/>
    <x v="7"/>
    <n v="106395.5"/>
    <n v="106598"/>
    <n v="47557"/>
    <n v="29828"/>
    <n v="1965"/>
    <n v="804"/>
    <n v="56627.5"/>
    <n v="246"/>
    <n v="0"/>
    <n v="75966"/>
    <n v="0"/>
    <n v="0"/>
    <m/>
    <m/>
    <n v="0"/>
    <n v="0"/>
    <m/>
    <m/>
    <m/>
    <m/>
    <m/>
    <m/>
    <m/>
    <m/>
    <m/>
    <m/>
    <m/>
    <m/>
  </r>
  <r>
    <x v="9"/>
    <s v="Johnston Community College"/>
    <m/>
    <n v="198774"/>
    <x v="7"/>
    <n v="80812"/>
    <n v="86085"/>
    <n v="37592"/>
    <n v="27100"/>
    <n v="5051"/>
    <n v="3763"/>
    <n v="38148"/>
    <n v="21"/>
    <n v="0"/>
    <n v="55222"/>
    <n v="0"/>
    <n v="0"/>
    <m/>
    <m/>
    <n v="0"/>
    <n v="0"/>
    <m/>
    <m/>
    <m/>
    <m/>
    <m/>
    <m/>
    <m/>
    <m/>
    <m/>
    <m/>
    <m/>
    <m/>
  </r>
  <r>
    <x v="9"/>
    <s v="Lenoir Community College "/>
    <m/>
    <n v="198817"/>
    <x v="7"/>
    <n v="53415"/>
    <n v="51279"/>
    <n v="19059"/>
    <n v="14718"/>
    <n v="2691"/>
    <n v="1873"/>
    <n v="31587"/>
    <n v="78"/>
    <n v="0"/>
    <n v="34688"/>
    <n v="0"/>
    <n v="0"/>
    <m/>
    <m/>
    <n v="0"/>
    <n v="0"/>
    <m/>
    <m/>
    <m/>
    <m/>
    <m/>
    <m/>
    <m/>
    <m/>
    <m/>
    <m/>
    <m/>
    <m/>
  </r>
  <r>
    <x v="9"/>
    <s v="Mitchell Community College "/>
    <m/>
    <n v="198987"/>
    <x v="7"/>
    <n v="57483"/>
    <n v="60192.800000000003"/>
    <n v="26128"/>
    <n v="23654.799999999999"/>
    <n v="3596"/>
    <n v="5303"/>
    <n v="27759"/>
    <n v="0"/>
    <n v="0"/>
    <n v="31235"/>
    <n v="0"/>
    <n v="0"/>
    <m/>
    <m/>
    <n v="0"/>
    <n v="0"/>
    <m/>
    <m/>
    <m/>
    <m/>
    <m/>
    <m/>
    <m/>
    <m/>
    <m/>
    <m/>
    <m/>
    <m/>
  </r>
  <r>
    <x v="9"/>
    <s v="Nash Community College"/>
    <m/>
    <n v="199087"/>
    <x v="7"/>
    <n v="61348"/>
    <n v="56033"/>
    <n v="28553"/>
    <n v="17542"/>
    <n v="3326"/>
    <n v="2116"/>
    <n v="29469"/>
    <n v="0"/>
    <n v="0"/>
    <n v="36375"/>
    <n v="0"/>
    <n v="0"/>
    <m/>
    <m/>
    <n v="0"/>
    <n v="0"/>
    <m/>
    <m/>
    <m/>
    <m/>
    <m/>
    <m/>
    <m/>
    <m/>
    <m/>
    <m/>
    <m/>
    <m/>
  </r>
  <r>
    <x v="9"/>
    <s v="Randolph Community College"/>
    <m/>
    <n v="199421"/>
    <x v="7"/>
    <n v="53952"/>
    <n v="53143"/>
    <n v="27275"/>
    <n v="16754"/>
    <n v="1967"/>
    <n v="850"/>
    <n v="24665"/>
    <n v="45"/>
    <n v="0"/>
    <n v="35539"/>
    <n v="0"/>
    <n v="0"/>
    <m/>
    <m/>
    <n v="0"/>
    <n v="0"/>
    <m/>
    <m/>
    <m/>
    <m/>
    <m/>
    <m/>
    <m/>
    <m/>
    <m/>
    <m/>
    <m/>
    <m/>
  </r>
  <r>
    <x v="9"/>
    <s v="Richmond Community College"/>
    <m/>
    <n v="199449"/>
    <x v="7"/>
    <n v="52823"/>
    <n v="47998.5"/>
    <n v="27857"/>
    <n v="23998.5"/>
    <n v="1381"/>
    <n v="231"/>
    <n v="23585"/>
    <n v="0"/>
    <n v="0"/>
    <n v="23769"/>
    <n v="0"/>
    <n v="0"/>
    <m/>
    <m/>
    <n v="0"/>
    <n v="0"/>
    <m/>
    <m/>
    <m/>
    <m/>
    <m/>
    <m/>
    <m/>
    <m/>
    <m/>
    <m/>
    <m/>
    <m/>
  </r>
  <r>
    <x v="9"/>
    <s v="Sandhills Community College "/>
    <m/>
    <n v="199634"/>
    <x v="7"/>
    <n v="82195"/>
    <n v="83225"/>
    <n v="47085"/>
    <n v="25506"/>
    <n v="2633"/>
    <n v="2380"/>
    <n v="32477"/>
    <n v="0"/>
    <n v="0"/>
    <n v="55339"/>
    <n v="0"/>
    <n v="0"/>
    <m/>
    <m/>
    <n v="0"/>
    <n v="0"/>
    <m/>
    <m/>
    <m/>
    <m/>
    <m/>
    <m/>
    <m/>
    <m/>
    <m/>
    <m/>
    <m/>
    <m/>
  </r>
  <r>
    <x v="9"/>
    <s v="South Piedmont Community College"/>
    <m/>
    <n v="197850"/>
    <x v="7"/>
    <n v="50230"/>
    <n v="51606"/>
    <n v="19542"/>
    <n v="16680"/>
    <n v="2433"/>
    <n v="1480"/>
    <n v="28255"/>
    <n v="0"/>
    <n v="0"/>
    <n v="33446"/>
    <n v="0"/>
    <n v="0"/>
    <m/>
    <m/>
    <n v="0"/>
    <n v="0"/>
    <m/>
    <m/>
    <m/>
    <m/>
    <m/>
    <m/>
    <m/>
    <m/>
    <m/>
    <m/>
    <m/>
    <m/>
  </r>
  <r>
    <x v="9"/>
    <s v="Stanly Community College"/>
    <m/>
    <n v="199740"/>
    <x v="7"/>
    <n v="50709"/>
    <n v="48314"/>
    <n v="12009"/>
    <n v="7936"/>
    <n v="2831"/>
    <n v="1369"/>
    <n v="35869"/>
    <n v="0"/>
    <n v="0"/>
    <n v="39009"/>
    <n v="0"/>
    <n v="0"/>
    <m/>
    <m/>
    <n v="0"/>
    <n v="0"/>
    <m/>
    <m/>
    <m/>
    <m/>
    <m/>
    <m/>
    <m/>
    <m/>
    <m/>
    <m/>
    <m/>
    <m/>
  </r>
  <r>
    <x v="9"/>
    <s v="Surry Community College "/>
    <m/>
    <n v="199768"/>
    <x v="7"/>
    <n v="63103"/>
    <n v="63807"/>
    <n v="38276"/>
    <n v="29468"/>
    <n v="1580"/>
    <n v="1320"/>
    <n v="23175"/>
    <n v="72"/>
    <n v="0"/>
    <n v="33019"/>
    <n v="0"/>
    <n v="0"/>
    <m/>
    <m/>
    <n v="0"/>
    <n v="0"/>
    <m/>
    <m/>
    <m/>
    <m/>
    <m/>
    <m/>
    <m/>
    <m/>
    <m/>
    <m/>
    <m/>
    <m/>
  </r>
  <r>
    <x v="9"/>
    <s v="Vance-Granville Community College "/>
    <m/>
    <n v="199838"/>
    <x v="7"/>
    <n v="56360"/>
    <n v="57594"/>
    <n v="24032"/>
    <n v="11515"/>
    <n v="1102"/>
    <n v="857"/>
    <n v="31076"/>
    <n v="150"/>
    <n v="0"/>
    <n v="45222"/>
    <n v="0"/>
    <n v="0"/>
    <m/>
    <m/>
    <n v="0"/>
    <n v="0"/>
    <m/>
    <m/>
    <m/>
    <m/>
    <m/>
    <m/>
    <m/>
    <m/>
    <m/>
    <m/>
    <m/>
    <m/>
  </r>
  <r>
    <x v="9"/>
    <s v="Wayne Community College"/>
    <m/>
    <n v="199892"/>
    <x v="7"/>
    <n v="70678"/>
    <n v="69015"/>
    <n v="33813"/>
    <n v="16384"/>
    <n v="330"/>
    <n v="147"/>
    <n v="36535"/>
    <n v="0"/>
    <n v="0"/>
    <n v="52484"/>
    <n v="0"/>
    <n v="0"/>
    <m/>
    <m/>
    <n v="0"/>
    <n v="0"/>
    <m/>
    <m/>
    <m/>
    <m/>
    <m/>
    <m/>
    <m/>
    <m/>
    <m/>
    <m/>
    <m/>
    <m/>
  </r>
  <r>
    <x v="9"/>
    <s v="Wilkes Community College "/>
    <m/>
    <n v="199926"/>
    <x v="7"/>
    <n v="53428"/>
    <n v="53312"/>
    <n v="27215"/>
    <n v="15595"/>
    <n v="7481"/>
    <n v="7043"/>
    <n v="18717"/>
    <n v="15"/>
    <n v="0"/>
    <n v="30674"/>
    <n v="0"/>
    <n v="0"/>
    <m/>
    <m/>
    <n v="0"/>
    <n v="0"/>
    <m/>
    <m/>
    <m/>
    <m/>
    <m/>
    <m/>
    <m/>
    <m/>
    <m/>
    <m/>
    <m/>
    <m/>
  </r>
  <r>
    <x v="9"/>
    <s v="Beaufort County Community College "/>
    <m/>
    <n v="197966"/>
    <x v="8"/>
    <n v="30983"/>
    <n v="30327"/>
    <n v="11974"/>
    <n v="8565"/>
    <n v="1639"/>
    <n v="1325"/>
    <n v="16963"/>
    <n v="407"/>
    <n v="0"/>
    <n v="20437"/>
    <n v="0"/>
    <n v="0"/>
    <m/>
    <m/>
    <n v="0"/>
    <n v="0"/>
    <m/>
    <m/>
    <m/>
    <m/>
    <m/>
    <m/>
    <m/>
    <m/>
    <m/>
    <m/>
    <m/>
    <m/>
  </r>
  <r>
    <x v="9"/>
    <s v="Bladen Community College"/>
    <m/>
    <n v="198011"/>
    <x v="8"/>
    <n v="27615"/>
    <n v="25178"/>
    <n v="11008"/>
    <n v="6371"/>
    <n v="772"/>
    <n v="176"/>
    <n v="15392"/>
    <n v="443"/>
    <n v="0"/>
    <n v="18631"/>
    <n v="0"/>
    <n v="0"/>
    <m/>
    <m/>
    <n v="0"/>
    <n v="0"/>
    <m/>
    <m/>
    <m/>
    <m/>
    <m/>
    <m/>
    <m/>
    <m/>
    <m/>
    <m/>
    <m/>
    <m/>
  </r>
  <r>
    <x v="9"/>
    <s v="Blue Ridge Community College"/>
    <m/>
    <n v="198039"/>
    <x v="8"/>
    <n v="42337"/>
    <n v="45937"/>
    <n v="19834"/>
    <n v="17447"/>
    <n v="2590"/>
    <n v="2820"/>
    <n v="18509"/>
    <n v="1404"/>
    <n v="0"/>
    <n v="25670"/>
    <n v="0"/>
    <n v="0"/>
    <m/>
    <m/>
    <n v="0"/>
    <n v="0"/>
    <m/>
    <m/>
    <m/>
    <m/>
    <m/>
    <m/>
    <m/>
    <m/>
    <m/>
    <m/>
    <m/>
    <m/>
  </r>
  <r>
    <x v="9"/>
    <s v="Brunswick Community College"/>
    <m/>
    <n v="198084"/>
    <x v="8"/>
    <n v="32579"/>
    <n v="33214"/>
    <n v="16749"/>
    <n v="8095"/>
    <n v="249"/>
    <n v="820"/>
    <n v="15572"/>
    <n v="9"/>
    <n v="0"/>
    <n v="24299"/>
    <n v="0"/>
    <n v="0"/>
    <m/>
    <m/>
    <n v="0"/>
    <n v="0"/>
    <m/>
    <m/>
    <m/>
    <m/>
    <m/>
    <m/>
    <m/>
    <m/>
    <m/>
    <m/>
    <m/>
    <m/>
  </r>
  <r>
    <x v="9"/>
    <s v="Carteret Community College"/>
    <m/>
    <n v="198206"/>
    <x v="8"/>
    <n v="31688"/>
    <n v="29328.5"/>
    <n v="15531"/>
    <n v="12878.5"/>
    <n v="1075"/>
    <n v="1127"/>
    <n v="15082"/>
    <n v="0"/>
    <n v="0"/>
    <n v="15323"/>
    <n v="0"/>
    <n v="0"/>
    <m/>
    <m/>
    <n v="0"/>
    <n v="0"/>
    <m/>
    <m/>
    <m/>
    <m/>
    <m/>
    <m/>
    <m/>
    <m/>
    <m/>
    <m/>
    <m/>
    <m/>
  </r>
  <r>
    <x v="9"/>
    <s v="College of The Albemarle"/>
    <s v="Met the criteria for Two-Year 2 in 2019-20."/>
    <n v="197814"/>
    <x v="8"/>
    <n v="53321"/>
    <n v="52580"/>
    <n v="18519"/>
    <n v="11439"/>
    <n v="4511"/>
    <n v="3480"/>
    <n v="30291"/>
    <n v="0"/>
    <n v="0"/>
    <n v="37661"/>
    <n v="0"/>
    <n v="0"/>
    <m/>
    <m/>
    <n v="0"/>
    <n v="0"/>
    <m/>
    <m/>
    <m/>
    <m/>
    <m/>
    <m/>
    <m/>
    <m/>
    <m/>
    <m/>
    <m/>
    <m/>
  </r>
  <r>
    <x v="9"/>
    <s v="Edgecombe Community College"/>
    <m/>
    <n v="198491"/>
    <x v="8"/>
    <n v="40430"/>
    <n v="34505"/>
    <n v="17043"/>
    <n v="11159"/>
    <n v="2108"/>
    <n v="1750"/>
    <n v="21279"/>
    <n v="0"/>
    <n v="0"/>
    <n v="21596"/>
    <n v="0"/>
    <n v="0"/>
    <m/>
    <m/>
    <n v="0"/>
    <n v="0"/>
    <m/>
    <m/>
    <m/>
    <m/>
    <m/>
    <m/>
    <m/>
    <m/>
    <m/>
    <m/>
    <m/>
    <m/>
  </r>
  <r>
    <x v="9"/>
    <s v="Halifax Community College "/>
    <m/>
    <n v="198640"/>
    <x v="8"/>
    <n v="20721"/>
    <n v="19451"/>
    <n v="7398"/>
    <n v="7452"/>
    <n v="2419"/>
    <n v="1287"/>
    <n v="10889"/>
    <n v="15"/>
    <n v="0"/>
    <n v="10712"/>
    <n v="0"/>
    <n v="0"/>
    <m/>
    <m/>
    <n v="0"/>
    <n v="0"/>
    <m/>
    <m/>
    <m/>
    <m/>
    <m/>
    <m/>
    <m/>
    <m/>
    <m/>
    <m/>
    <m/>
    <m/>
  </r>
  <r>
    <x v="9"/>
    <s v="Haywood Community College"/>
    <m/>
    <n v="198668"/>
    <x v="8"/>
    <n v="32073"/>
    <n v="30774"/>
    <n v="16871"/>
    <n v="8723"/>
    <n v="1005"/>
    <n v="2431"/>
    <n v="14197"/>
    <n v="0"/>
    <n v="0"/>
    <n v="19620"/>
    <n v="0"/>
    <n v="0"/>
    <m/>
    <m/>
    <n v="0"/>
    <n v="0"/>
    <m/>
    <m/>
    <m/>
    <m/>
    <m/>
    <m/>
    <m/>
    <m/>
    <m/>
    <m/>
    <m/>
    <m/>
  </r>
  <r>
    <x v="9"/>
    <s v="Isothermal Community College "/>
    <m/>
    <n v="198710"/>
    <x v="8"/>
    <n v="43635"/>
    <n v="45703"/>
    <n v="14197"/>
    <n v="11684"/>
    <n v="4296"/>
    <n v="3153"/>
    <n v="25142"/>
    <n v="0"/>
    <n v="0"/>
    <n v="30866"/>
    <n v="0"/>
    <n v="0"/>
    <m/>
    <m/>
    <n v="0"/>
    <n v="0"/>
    <m/>
    <m/>
    <m/>
    <m/>
    <m/>
    <m/>
    <m/>
    <m/>
    <m/>
    <m/>
    <m/>
    <m/>
  </r>
  <r>
    <x v="9"/>
    <s v="James Sprunt Community College"/>
    <m/>
    <n v="198729"/>
    <x v="8"/>
    <n v="25516"/>
    <n v="25678"/>
    <n v="10802"/>
    <n v="5636"/>
    <n v="277"/>
    <n v="439"/>
    <n v="13931"/>
    <n v="506"/>
    <n v="0"/>
    <n v="19603"/>
    <n v="0"/>
    <n v="0"/>
    <m/>
    <m/>
    <n v="0"/>
    <n v="0"/>
    <m/>
    <m/>
    <m/>
    <m/>
    <m/>
    <m/>
    <m/>
    <m/>
    <m/>
    <m/>
    <m/>
    <m/>
  </r>
  <r>
    <x v="9"/>
    <s v="Martin Community College "/>
    <m/>
    <n v="198905"/>
    <x v="8"/>
    <n v="15682"/>
    <n v="17669"/>
    <n v="5404"/>
    <n v="4926"/>
    <n v="257"/>
    <n v="200"/>
    <n v="10021"/>
    <n v="0"/>
    <n v="0"/>
    <n v="12543"/>
    <n v="0"/>
    <n v="0"/>
    <m/>
    <m/>
    <n v="0"/>
    <n v="0"/>
    <m/>
    <m/>
    <m/>
    <m/>
    <m/>
    <m/>
    <m/>
    <m/>
    <m/>
    <m/>
    <m/>
    <m/>
  </r>
  <r>
    <x v="9"/>
    <s v="Mayland Community College"/>
    <m/>
    <n v="198914"/>
    <x v="8"/>
    <n v="19215"/>
    <n v="17904"/>
    <n v="8383"/>
    <n v="5755"/>
    <n v="3033"/>
    <n v="1595"/>
    <n v="7799"/>
    <n v="0"/>
    <n v="0"/>
    <n v="10554"/>
    <n v="0"/>
    <n v="0"/>
    <m/>
    <m/>
    <n v="0"/>
    <n v="0"/>
    <m/>
    <m/>
    <m/>
    <m/>
    <m/>
    <m/>
    <m/>
    <m/>
    <m/>
    <m/>
    <m/>
    <m/>
  </r>
  <r>
    <x v="9"/>
    <s v="McDowell Technical Community College"/>
    <m/>
    <n v="198923"/>
    <x v="8"/>
    <n v="20973"/>
    <n v="20665"/>
    <n v="12338"/>
    <n v="8747"/>
    <n v="424"/>
    <n v="42"/>
    <n v="8148"/>
    <n v="63"/>
    <n v="0"/>
    <n v="11876"/>
    <n v="0"/>
    <n v="0"/>
    <m/>
    <m/>
    <n v="0"/>
    <n v="0"/>
    <m/>
    <m/>
    <m/>
    <m/>
    <m/>
    <m/>
    <m/>
    <m/>
    <m/>
    <m/>
    <m/>
    <m/>
  </r>
  <r>
    <x v="9"/>
    <s v="Montgomery Community College"/>
    <m/>
    <n v="199023"/>
    <x v="8"/>
    <n v="18090"/>
    <n v="17392"/>
    <n v="10885"/>
    <n v="9421"/>
    <n v="364"/>
    <n v="667"/>
    <n v="6841"/>
    <n v="0"/>
    <n v="0"/>
    <n v="7304"/>
    <n v="0"/>
    <n v="0"/>
    <m/>
    <m/>
    <n v="0"/>
    <n v="0"/>
    <m/>
    <m/>
    <m/>
    <m/>
    <m/>
    <m/>
    <m/>
    <m/>
    <m/>
    <m/>
    <m/>
    <m/>
  </r>
  <r>
    <x v="9"/>
    <s v="Pamlico Community College"/>
    <m/>
    <n v="199263"/>
    <x v="8"/>
    <n v="10636"/>
    <n v="11055"/>
    <n v="1302"/>
    <n v="968"/>
    <n v="3551"/>
    <n v="4233"/>
    <n v="5783"/>
    <n v="0"/>
    <n v="0"/>
    <n v="5854"/>
    <n v="0"/>
    <n v="0"/>
    <m/>
    <m/>
    <n v="0"/>
    <n v="0"/>
    <m/>
    <m/>
    <m/>
    <m/>
    <m/>
    <m/>
    <m/>
    <m/>
    <m/>
    <m/>
    <m/>
    <m/>
  </r>
  <r>
    <x v="9"/>
    <s v="Piedmont Community College"/>
    <m/>
    <n v="199324"/>
    <x v="8"/>
    <n v="23736"/>
    <n v="24460.5"/>
    <n v="9047"/>
    <n v="10449.5"/>
    <n v="903"/>
    <n v="106"/>
    <n v="13717"/>
    <n v="69"/>
    <n v="0"/>
    <n v="13905"/>
    <n v="0"/>
    <n v="0"/>
    <m/>
    <m/>
    <n v="0"/>
    <n v="0"/>
    <m/>
    <m/>
    <m/>
    <m/>
    <m/>
    <m/>
    <m/>
    <m/>
    <m/>
    <m/>
    <m/>
    <m/>
  </r>
  <r>
    <x v="9"/>
    <s v="Roanoke-Chowan Community College"/>
    <m/>
    <n v="199467"/>
    <x v="8"/>
    <n v="12583"/>
    <n v="10352"/>
    <n v="4555"/>
    <n v="3063"/>
    <n v="358"/>
    <n v="11"/>
    <n v="7670"/>
    <n v="0"/>
    <n v="0"/>
    <n v="7278"/>
    <n v="0"/>
    <n v="0"/>
    <m/>
    <m/>
    <n v="0"/>
    <n v="0"/>
    <m/>
    <m/>
    <m/>
    <m/>
    <m/>
    <m/>
    <m/>
    <m/>
    <m/>
    <m/>
    <m/>
    <m/>
  </r>
  <r>
    <x v="9"/>
    <s v="Robeson Community College"/>
    <s v="Met the criteria for Two-Year 2 in 2020-21."/>
    <n v="199476"/>
    <x v="8"/>
    <n v="37918"/>
    <n v="41285"/>
    <n v="22357"/>
    <n v="15757"/>
    <n v="454"/>
    <n v="541"/>
    <n v="15107"/>
    <n v="0"/>
    <n v="0"/>
    <n v="24987"/>
    <n v="0"/>
    <n v="0"/>
    <m/>
    <m/>
    <n v="0"/>
    <n v="0"/>
    <m/>
    <m/>
    <m/>
    <m/>
    <m/>
    <m/>
    <m/>
    <m/>
    <m/>
    <m/>
    <m/>
    <m/>
  </r>
  <r>
    <x v="9"/>
    <s v="Rockingham Community College "/>
    <m/>
    <n v="199485"/>
    <x v="8"/>
    <n v="36130"/>
    <n v="36900"/>
    <n v="22600"/>
    <n v="15132"/>
    <n v="993"/>
    <n v="737"/>
    <n v="12438"/>
    <n v="99"/>
    <n v="0"/>
    <n v="21031"/>
    <n v="0"/>
    <n v="0"/>
    <m/>
    <m/>
    <n v="0"/>
    <n v="0"/>
    <m/>
    <m/>
    <m/>
    <m/>
    <m/>
    <m/>
    <m/>
    <m/>
    <m/>
    <m/>
    <m/>
    <m/>
  </r>
  <r>
    <x v="9"/>
    <s v="Sampson Community College"/>
    <m/>
    <n v="199625"/>
    <x v="8"/>
    <n v="36369"/>
    <n v="37544"/>
    <n v="13168"/>
    <n v="8295"/>
    <n v="52"/>
    <n v="43"/>
    <n v="23149"/>
    <n v="0"/>
    <n v="0"/>
    <n v="29206"/>
    <n v="0"/>
    <n v="0"/>
    <m/>
    <m/>
    <n v="0"/>
    <n v="0"/>
    <m/>
    <m/>
    <m/>
    <m/>
    <m/>
    <m/>
    <m/>
    <m/>
    <m/>
    <m/>
    <m/>
    <m/>
  </r>
  <r>
    <x v="9"/>
    <s v="Southeastern Community College "/>
    <m/>
    <n v="199722"/>
    <x v="8"/>
    <n v="31548"/>
    <n v="29888"/>
    <n v="14091"/>
    <n v="9777"/>
    <n v="945"/>
    <n v="712"/>
    <n v="16512"/>
    <n v="0"/>
    <n v="0"/>
    <n v="19399"/>
    <n v="0"/>
    <n v="0"/>
    <m/>
    <m/>
    <n v="0"/>
    <n v="0"/>
    <m/>
    <m/>
    <m/>
    <m/>
    <m/>
    <m/>
    <m/>
    <m/>
    <m/>
    <m/>
    <m/>
    <m/>
  </r>
  <r>
    <x v="9"/>
    <s v="Southwestern Community College "/>
    <m/>
    <n v="199731"/>
    <x v="8"/>
    <n v="46377"/>
    <n v="44668"/>
    <n v="26769"/>
    <n v="17649"/>
    <n v="1461"/>
    <n v="1451"/>
    <n v="18147"/>
    <n v="0"/>
    <n v="0"/>
    <n v="25568"/>
    <n v="0"/>
    <n v="0"/>
    <m/>
    <m/>
    <n v="0"/>
    <n v="0"/>
    <m/>
    <m/>
    <m/>
    <m/>
    <m/>
    <m/>
    <m/>
    <m/>
    <m/>
    <m/>
    <m/>
    <m/>
  </r>
  <r>
    <x v="9"/>
    <s v="Tri-County Community College "/>
    <m/>
    <n v="199795"/>
    <x v="8"/>
    <n v="23090"/>
    <n v="23541"/>
    <n v="5879"/>
    <n v="5733"/>
    <n v="1875"/>
    <n v="1541"/>
    <n v="15336"/>
    <n v="0"/>
    <n v="0"/>
    <n v="16267"/>
    <n v="0"/>
    <n v="0"/>
    <m/>
    <m/>
    <n v="0"/>
    <n v="0"/>
    <m/>
    <m/>
    <m/>
    <m/>
    <m/>
    <m/>
    <m/>
    <m/>
    <m/>
    <m/>
    <m/>
    <m/>
  </r>
  <r>
    <x v="9"/>
    <s v="Western Piedmont Community College "/>
    <m/>
    <n v="199908"/>
    <x v="8"/>
    <n v="40720"/>
    <n v="40876"/>
    <n v="22494"/>
    <n v="7514"/>
    <n v="2735"/>
    <n v="7486"/>
    <n v="15491"/>
    <n v="0"/>
    <n v="0"/>
    <n v="25876"/>
    <n v="0"/>
    <n v="0"/>
    <m/>
    <m/>
    <n v="0"/>
    <n v="0"/>
    <m/>
    <m/>
    <m/>
    <m/>
    <m/>
    <m/>
    <m/>
    <m/>
    <m/>
    <m/>
    <m/>
    <m/>
  </r>
  <r>
    <x v="9"/>
    <s v="Wilson Community College"/>
    <m/>
    <n v="199953"/>
    <x v="8"/>
    <n v="35058.5"/>
    <n v="35979.5"/>
    <n v="12226.5"/>
    <n v="7898.5"/>
    <n v="1270"/>
    <n v="1412"/>
    <n v="21562"/>
    <n v="0"/>
    <n v="0"/>
    <n v="26669"/>
    <n v="0"/>
    <n v="0"/>
    <m/>
    <m/>
    <n v="0"/>
    <n v="0"/>
    <m/>
    <m/>
    <m/>
    <m/>
    <m/>
    <m/>
    <m/>
    <m/>
    <m/>
    <m/>
    <m/>
    <m/>
  </r>
  <r>
    <x v="10"/>
    <m/>
    <m/>
    <m/>
    <x v="12"/>
    <n v="0"/>
    <n v="0"/>
    <m/>
    <m/>
    <m/>
    <m/>
    <m/>
    <m/>
    <m/>
    <m/>
    <m/>
    <m/>
    <m/>
    <m/>
    <n v="0"/>
    <n v="0"/>
    <m/>
    <m/>
    <m/>
    <m/>
    <m/>
    <m/>
    <m/>
    <m/>
    <m/>
    <m/>
    <m/>
    <m/>
  </r>
  <r>
    <x v="10"/>
    <m/>
    <m/>
    <m/>
    <x v="12"/>
    <n v="0"/>
    <n v="0"/>
    <m/>
    <m/>
    <m/>
    <m/>
    <m/>
    <m/>
    <m/>
    <m/>
    <m/>
    <m/>
    <m/>
    <m/>
    <n v="0"/>
    <n v="0"/>
    <m/>
    <m/>
    <m/>
    <m/>
    <m/>
    <m/>
    <m/>
    <m/>
    <m/>
    <m/>
    <m/>
    <m/>
  </r>
  <r>
    <x v="11"/>
    <s v="Clemson University"/>
    <m/>
    <n v="217882"/>
    <x v="0"/>
    <n v="618261"/>
    <n v="635293"/>
    <n v="540556"/>
    <n v="442126"/>
    <n v="16387"/>
    <n v="8621"/>
    <n v="61318"/>
    <m/>
    <m/>
    <n v="184546"/>
    <m/>
    <m/>
    <m/>
    <m/>
    <n v="96016"/>
    <n v="96995"/>
    <n v="46748"/>
    <n v="36682"/>
    <n v="26230"/>
    <n v="16683"/>
    <n v="23038"/>
    <m/>
    <m/>
    <n v="43630"/>
    <m/>
    <m/>
    <m/>
    <m/>
  </r>
  <r>
    <x v="11"/>
    <s v="University of South Carolina-Columbia"/>
    <m/>
    <n v="218663"/>
    <x v="0"/>
    <n v="818438"/>
    <n v="846368"/>
    <n v="702948"/>
    <n v="387849"/>
    <n v="12733"/>
    <n v="10170"/>
    <n v="102751"/>
    <n v="6"/>
    <m/>
    <n v="448323"/>
    <n v="26"/>
    <m/>
    <m/>
    <m/>
    <n v="176268"/>
    <n v="170036"/>
    <n v="130112"/>
    <n v="91422"/>
    <n v="3522"/>
    <n v="3282"/>
    <n v="32381"/>
    <n v="10253"/>
    <m/>
    <n v="68757"/>
    <n v="6575"/>
    <m/>
    <m/>
    <m/>
  </r>
  <r>
    <x v="11"/>
    <s v="College of Charleston"/>
    <m/>
    <n v="217819"/>
    <x v="2"/>
    <n v="286655"/>
    <n v="280124"/>
    <n v="251059"/>
    <n v="186173"/>
    <n v="7221"/>
    <n v="4389"/>
    <n v="28375"/>
    <m/>
    <m/>
    <n v="89562"/>
    <m/>
    <m/>
    <m/>
    <m/>
    <n v="13742"/>
    <n v="16449"/>
    <n v="6966"/>
    <n v="4889"/>
    <n v="1348"/>
    <n v="843"/>
    <n v="5428"/>
    <m/>
    <m/>
    <n v="10717"/>
    <m/>
    <m/>
    <m/>
    <m/>
  </r>
  <r>
    <x v="11"/>
    <s v="The Citadel, the Military College of South Carolina "/>
    <m/>
    <n v="217864"/>
    <x v="2"/>
    <n v="100806"/>
    <n v="98265"/>
    <n v="94645"/>
    <n v="90532"/>
    <n v="129"/>
    <n v="158"/>
    <n v="6032"/>
    <m/>
    <m/>
    <n v="7575"/>
    <m/>
    <m/>
    <m/>
    <m/>
    <n v="15052"/>
    <n v="14825"/>
    <n v="6557"/>
    <n v="5755"/>
    <n v="1296"/>
    <n v="381"/>
    <n v="7199"/>
    <m/>
    <m/>
    <n v="8689"/>
    <m/>
    <m/>
    <m/>
    <m/>
  </r>
  <r>
    <x v="11"/>
    <s v="Winthrop University "/>
    <m/>
    <n v="218964"/>
    <x v="2"/>
    <n v="138374"/>
    <n v="134935"/>
    <n v="118718.5"/>
    <n v="78192"/>
    <n v="2315"/>
    <n v="1379"/>
    <n v="17340.5"/>
    <m/>
    <m/>
    <n v="55364"/>
    <m/>
    <m/>
    <m/>
    <m/>
    <n v="13673"/>
    <n v="16735"/>
    <n v="8138"/>
    <n v="4440"/>
    <n v="764"/>
    <n v="440"/>
    <n v="4771"/>
    <m/>
    <m/>
    <n v="11855"/>
    <m/>
    <m/>
    <m/>
    <m/>
  </r>
  <r>
    <x v="11"/>
    <s v="Coastal Carolina University"/>
    <m/>
    <n v="218724"/>
    <x v="3"/>
    <n v="290884"/>
    <n v="283480"/>
    <n v="234234"/>
    <n v="214772"/>
    <n v="2566"/>
    <n v="1373"/>
    <n v="54084"/>
    <m/>
    <m/>
    <n v="67335"/>
    <m/>
    <m/>
    <m/>
    <m/>
    <n v="12890"/>
    <n v="12670"/>
    <n v="5438"/>
    <n v="4267"/>
    <n v="1408"/>
    <n v="510"/>
    <n v="6044"/>
    <m/>
    <m/>
    <n v="7893"/>
    <m/>
    <m/>
    <m/>
    <m/>
  </r>
  <r>
    <x v="11"/>
    <s v="Francis Marion University "/>
    <m/>
    <n v="218061"/>
    <x v="4"/>
    <n v="88066"/>
    <n v="90676"/>
    <n v="76530"/>
    <n v="66493"/>
    <n v="1323"/>
    <n v="4721"/>
    <n v="10213"/>
    <m/>
    <m/>
    <n v="19462"/>
    <m/>
    <m/>
    <m/>
    <m/>
    <n v="9496"/>
    <n v="11755"/>
    <n v="4828"/>
    <n v="4391"/>
    <n v="4"/>
    <n v="822"/>
    <n v="4664"/>
    <m/>
    <m/>
    <n v="6542"/>
    <m/>
    <m/>
    <m/>
    <m/>
  </r>
  <r>
    <x v="11"/>
    <s v="South Carolina State University "/>
    <m/>
    <n v="218733"/>
    <x v="4"/>
    <n v="63835"/>
    <n v="58908"/>
    <n v="56176"/>
    <n v="48890"/>
    <m/>
    <m/>
    <n v="7659"/>
    <m/>
    <m/>
    <n v="10018"/>
    <m/>
    <m/>
    <m/>
    <m/>
    <n v="6113"/>
    <n v="5561"/>
    <n v="5264"/>
    <n v="3313"/>
    <m/>
    <m/>
    <n v="825"/>
    <n v="24"/>
    <m/>
    <n v="2248"/>
    <m/>
    <m/>
    <m/>
    <m/>
  </r>
  <r>
    <x v="11"/>
    <s v="Lander University"/>
    <s v="Met the criteria for Four-Year 5 in 2019-20."/>
    <n v="218229"/>
    <x v="5"/>
    <n v="87864.5"/>
    <n v="94947"/>
    <n v="75733.5"/>
    <n v="68525"/>
    <n v="36"/>
    <n v="231"/>
    <n v="12095"/>
    <m/>
    <m/>
    <n v="26191"/>
    <m/>
    <m/>
    <m/>
    <m/>
    <n v="1553"/>
    <n v="2168"/>
    <n v="462"/>
    <n v="105"/>
    <m/>
    <n v="66"/>
    <n v="1091"/>
    <m/>
    <m/>
    <n v="1997"/>
    <m/>
    <m/>
    <m/>
    <m/>
  </r>
  <r>
    <x v="11"/>
    <s v="University of South Carolina-Aiken"/>
    <s v="Met the criteria for Four-Year 5 in 2019-20 and 2020-21."/>
    <n v="218645"/>
    <x v="5"/>
    <n v="86188"/>
    <n v="88250"/>
    <n v="65050"/>
    <n v="38770"/>
    <n v="3554"/>
    <n v="2938"/>
    <n v="17584"/>
    <m/>
    <m/>
    <n v="46542"/>
    <m/>
    <m/>
    <m/>
    <m/>
    <n v="6315"/>
    <n v="5233"/>
    <n v="566"/>
    <n v="210"/>
    <m/>
    <m/>
    <n v="5749"/>
    <m/>
    <m/>
    <n v="5023"/>
    <m/>
    <m/>
    <m/>
    <m/>
  </r>
  <r>
    <x v="11"/>
    <s v="University of South Carolina-Beaufort"/>
    <m/>
    <n v="218654"/>
    <x v="5"/>
    <n v="59462"/>
    <n v="57500"/>
    <n v="40140"/>
    <n v="28495"/>
    <n v="3813"/>
    <n v="2287"/>
    <n v="15509"/>
    <m/>
    <m/>
    <n v="26718"/>
    <m/>
    <m/>
    <m/>
    <m/>
    <n v="39"/>
    <n v="15"/>
    <n v="39"/>
    <n v="15"/>
    <m/>
    <m/>
    <m/>
    <m/>
    <m/>
    <m/>
    <m/>
    <m/>
    <m/>
    <m/>
  </r>
  <r>
    <x v="11"/>
    <s v="University of South Carolina-Upstate"/>
    <m/>
    <n v="218742"/>
    <x v="5"/>
    <n v="156255"/>
    <n v="144446"/>
    <n v="106954"/>
    <n v="51603"/>
    <n v="9960"/>
    <n v="5438"/>
    <n v="39341"/>
    <m/>
    <m/>
    <n v="87405"/>
    <m/>
    <m/>
    <m/>
    <m/>
    <n v="5254"/>
    <n v="6643"/>
    <n v="3516"/>
    <n v="2341"/>
    <n v="1034"/>
    <n v="54"/>
    <n v="704"/>
    <m/>
    <m/>
    <n v="4248"/>
    <m/>
    <m/>
    <m/>
    <m/>
  </r>
  <r>
    <x v="11"/>
    <s v="Greenville Technical College "/>
    <m/>
    <n v="218113"/>
    <x v="6"/>
    <n v="228040"/>
    <n v="223915"/>
    <n v="142775"/>
    <n v="72880"/>
    <n v="15840"/>
    <n v="9502"/>
    <n v="69425"/>
    <m/>
    <m/>
    <n v="141533"/>
    <m/>
    <m/>
    <m/>
    <m/>
    <n v="0"/>
    <n v="0"/>
    <m/>
    <m/>
    <m/>
    <m/>
    <m/>
    <m/>
    <m/>
    <m/>
    <m/>
    <m/>
    <m/>
    <m/>
  </r>
  <r>
    <x v="11"/>
    <s v="Horry-Georgetown Technical College "/>
    <s v="Met the criteria for Two-Year 2 in 2020-21."/>
    <n v="218140"/>
    <x v="6"/>
    <n v="154207"/>
    <n v="148653"/>
    <n v="95030"/>
    <n v="68821"/>
    <n v="6745"/>
    <n v="20723"/>
    <n v="52432"/>
    <m/>
    <m/>
    <n v="59109"/>
    <m/>
    <m/>
    <m/>
    <m/>
    <n v="0"/>
    <n v="0"/>
    <m/>
    <m/>
    <m/>
    <m/>
    <m/>
    <m/>
    <m/>
    <m/>
    <m/>
    <m/>
    <m/>
    <m/>
  </r>
  <r>
    <x v="11"/>
    <s v="Midlands Technical College "/>
    <m/>
    <n v="218353"/>
    <x v="6"/>
    <n v="203271"/>
    <n v="197166"/>
    <n v="130286"/>
    <n v="74937"/>
    <n v="15492"/>
    <n v="15404"/>
    <n v="57493"/>
    <m/>
    <m/>
    <n v="106825"/>
    <m/>
    <m/>
    <m/>
    <m/>
    <n v="0"/>
    <n v="0"/>
    <m/>
    <m/>
    <m/>
    <m/>
    <m/>
    <m/>
    <m/>
    <m/>
    <m/>
    <m/>
    <m/>
    <m/>
  </r>
  <r>
    <x v="11"/>
    <s v="Trident Technical College "/>
    <m/>
    <n v="218894"/>
    <x v="6"/>
    <n v="251840"/>
    <n v="246575"/>
    <n v="94044"/>
    <n v="35746"/>
    <n v="22170"/>
    <n v="10549"/>
    <n v="135626"/>
    <m/>
    <m/>
    <n v="200280"/>
    <m/>
    <m/>
    <m/>
    <m/>
    <n v="0"/>
    <n v="0"/>
    <m/>
    <m/>
    <m/>
    <m/>
    <m/>
    <m/>
    <m/>
    <m/>
    <m/>
    <m/>
    <m/>
    <m/>
  </r>
  <r>
    <x v="11"/>
    <s v="Central Carolina Technical College "/>
    <m/>
    <n v="218858"/>
    <x v="7"/>
    <n v="73177"/>
    <n v="65661"/>
    <n v="36888"/>
    <n v="23457"/>
    <n v="3978"/>
    <n v="6987"/>
    <n v="32311"/>
    <m/>
    <m/>
    <n v="35217"/>
    <m/>
    <m/>
    <m/>
    <m/>
    <n v="0"/>
    <n v="0"/>
    <m/>
    <m/>
    <m/>
    <m/>
    <m/>
    <m/>
    <m/>
    <m/>
    <m/>
    <m/>
    <m/>
    <m/>
  </r>
  <r>
    <x v="11"/>
    <s v="Florence-Darlington Technical College "/>
    <m/>
    <n v="218025"/>
    <x v="7"/>
    <n v="78530"/>
    <n v="71082"/>
    <n v="46857"/>
    <n v="25544"/>
    <n v="5720"/>
    <n v="3920"/>
    <n v="22744"/>
    <n v="3209"/>
    <m/>
    <n v="40424"/>
    <n v="1194"/>
    <m/>
    <m/>
    <m/>
    <n v="0"/>
    <n v="0"/>
    <m/>
    <m/>
    <m/>
    <m/>
    <m/>
    <m/>
    <m/>
    <m/>
    <m/>
    <m/>
    <m/>
    <m/>
  </r>
  <r>
    <x v="11"/>
    <s v="Piedmont Technical College "/>
    <m/>
    <n v="218520"/>
    <x v="7"/>
    <n v="103825"/>
    <n v="106149"/>
    <n v="39867"/>
    <n v="20122"/>
    <n v="12139"/>
    <n v="10156"/>
    <n v="45622"/>
    <n v="6197"/>
    <m/>
    <n v="72472"/>
    <n v="3399"/>
    <m/>
    <m/>
    <m/>
    <n v="0"/>
    <n v="0"/>
    <m/>
    <m/>
    <m/>
    <m/>
    <m/>
    <m/>
    <m/>
    <m/>
    <m/>
    <m/>
    <m/>
    <m/>
  </r>
  <r>
    <x v="11"/>
    <s v="Spartanburg Community College "/>
    <m/>
    <n v="218830"/>
    <x v="7"/>
    <n v="97123"/>
    <n v="92922"/>
    <n v="61816"/>
    <n v="44098"/>
    <n v="10427"/>
    <n v="12778"/>
    <n v="24880"/>
    <m/>
    <m/>
    <n v="36046"/>
    <m/>
    <m/>
    <m/>
    <m/>
    <n v="0"/>
    <n v="0"/>
    <m/>
    <m/>
    <m/>
    <m/>
    <m/>
    <m/>
    <m/>
    <m/>
    <m/>
    <m/>
    <m/>
    <m/>
  </r>
  <r>
    <x v="11"/>
    <s v="Tri-County Technical College "/>
    <m/>
    <n v="218885"/>
    <x v="7"/>
    <n v="145876"/>
    <n v="141207"/>
    <n v="96691"/>
    <n v="44090"/>
    <n v="7278"/>
    <n v="4553"/>
    <n v="41907"/>
    <m/>
    <m/>
    <n v="92564"/>
    <m/>
    <m/>
    <m/>
    <m/>
    <n v="0"/>
    <n v="0"/>
    <m/>
    <m/>
    <m/>
    <m/>
    <m/>
    <m/>
    <m/>
    <m/>
    <m/>
    <m/>
    <m/>
    <m/>
  </r>
  <r>
    <x v="11"/>
    <s v="York Technical College "/>
    <m/>
    <n v="218991"/>
    <x v="7"/>
    <n v="99223"/>
    <n v="96947"/>
    <n v="49344"/>
    <n v="11343"/>
    <n v="6693"/>
    <n v="5013"/>
    <n v="43186"/>
    <m/>
    <m/>
    <n v="80591"/>
    <m/>
    <m/>
    <m/>
    <m/>
    <n v="0"/>
    <n v="0"/>
    <m/>
    <m/>
    <m/>
    <m/>
    <m/>
    <m/>
    <m/>
    <m/>
    <m/>
    <m/>
    <m/>
    <m/>
  </r>
  <r>
    <x v="11"/>
    <s v="Aiken Technical College "/>
    <m/>
    <n v="217615"/>
    <x v="8"/>
    <n v="46634"/>
    <n v="42315"/>
    <n v="30978"/>
    <n v="16175"/>
    <n v="2864"/>
    <n v="2092"/>
    <n v="12792"/>
    <m/>
    <m/>
    <n v="24048"/>
    <m/>
    <m/>
    <m/>
    <m/>
    <n v="0"/>
    <n v="0"/>
    <m/>
    <m/>
    <m/>
    <m/>
    <m/>
    <m/>
    <m/>
    <m/>
    <m/>
    <m/>
    <m/>
    <m/>
  </r>
  <r>
    <x v="11"/>
    <s v="Denmark Technical College "/>
    <m/>
    <n v="217989"/>
    <x v="8"/>
    <n v="11901"/>
    <n v="12654"/>
    <n v="5094"/>
    <n v="3133"/>
    <n v="1109"/>
    <n v="885"/>
    <n v="5698"/>
    <m/>
    <m/>
    <n v="8636"/>
    <m/>
    <m/>
    <m/>
    <m/>
    <n v="0"/>
    <n v="0"/>
    <m/>
    <m/>
    <m/>
    <m/>
    <m/>
    <m/>
    <m/>
    <m/>
    <m/>
    <m/>
    <m/>
    <m/>
  </r>
  <r>
    <x v="11"/>
    <s v="Northeastern Technical College "/>
    <m/>
    <n v="217837"/>
    <x v="8"/>
    <n v="27291"/>
    <n v="28692"/>
    <n v="5890"/>
    <n v="3246"/>
    <n v="2607"/>
    <n v="583"/>
    <n v="16295"/>
    <n v="2499"/>
    <m/>
    <n v="24285"/>
    <n v="578"/>
    <m/>
    <m/>
    <m/>
    <n v="0"/>
    <n v="0"/>
    <m/>
    <m/>
    <m/>
    <m/>
    <m/>
    <m/>
    <m/>
    <m/>
    <m/>
    <m/>
    <m/>
    <m/>
  </r>
  <r>
    <x v="11"/>
    <s v="Orangeburg-Calhoun Technical College "/>
    <m/>
    <n v="218487"/>
    <x v="8"/>
    <n v="50568"/>
    <n v="48358"/>
    <n v="25998"/>
    <n v="14266"/>
    <n v="9324"/>
    <n v="5505"/>
    <n v="15246"/>
    <m/>
    <m/>
    <n v="28587"/>
    <m/>
    <m/>
    <m/>
    <m/>
    <n v="0"/>
    <n v="0"/>
    <m/>
    <m/>
    <m/>
    <m/>
    <m/>
    <m/>
    <m/>
    <m/>
    <m/>
    <m/>
    <m/>
    <m/>
  </r>
  <r>
    <x v="11"/>
    <s v="Technical College of the Lowcountry"/>
    <m/>
    <n v="217712"/>
    <x v="8"/>
    <n v="44205"/>
    <n v="42797"/>
    <n v="26077"/>
    <n v="12921"/>
    <n v="1544"/>
    <n v="1127"/>
    <n v="16584"/>
    <m/>
    <m/>
    <n v="28749"/>
    <m/>
    <m/>
    <m/>
    <m/>
    <n v="0"/>
    <n v="0"/>
    <m/>
    <m/>
    <m/>
    <m/>
    <m/>
    <m/>
    <m/>
    <m/>
    <m/>
    <m/>
    <m/>
    <m/>
  </r>
  <r>
    <x v="11"/>
    <s v="University of South Carolina-Lancaster"/>
    <m/>
    <n v="218672"/>
    <x v="8"/>
    <n v="33443"/>
    <n v="35556"/>
    <n v="25072"/>
    <n v="13308"/>
    <n v="791"/>
    <n v="558"/>
    <n v="2606"/>
    <m/>
    <n v="4974"/>
    <n v="16135"/>
    <m/>
    <n v="5555"/>
    <m/>
    <m/>
    <n v="0"/>
    <n v="0"/>
    <m/>
    <m/>
    <m/>
    <m/>
    <m/>
    <m/>
    <m/>
    <m/>
    <m/>
    <m/>
    <m/>
    <m/>
  </r>
  <r>
    <x v="11"/>
    <s v="University of South Carolina-Salkehatchie"/>
    <m/>
    <n v="218681"/>
    <x v="8"/>
    <n v="19210"/>
    <n v="19067"/>
    <n v="13797"/>
    <n v="8363"/>
    <n v="2793"/>
    <n v="4696"/>
    <n v="2620"/>
    <m/>
    <m/>
    <n v="6008"/>
    <m/>
    <m/>
    <m/>
    <m/>
    <n v="3"/>
    <n v="0"/>
    <m/>
    <m/>
    <m/>
    <m/>
    <n v="3"/>
    <m/>
    <m/>
    <m/>
    <m/>
    <m/>
    <m/>
    <m/>
  </r>
  <r>
    <x v="11"/>
    <s v="University of South Carolina-Sumter"/>
    <m/>
    <n v="218690"/>
    <x v="8"/>
    <n v="24544"/>
    <n v="25148"/>
    <n v="15829"/>
    <n v="8910"/>
    <n v="4613"/>
    <n v="3331"/>
    <n v="4102"/>
    <m/>
    <m/>
    <n v="12907"/>
    <m/>
    <m/>
    <m/>
    <m/>
    <n v="0"/>
    <n v="0"/>
    <m/>
    <m/>
    <m/>
    <m/>
    <m/>
    <m/>
    <m/>
    <m/>
    <m/>
    <m/>
    <m/>
    <m/>
  </r>
  <r>
    <x v="11"/>
    <s v="University of South Carolina-Union"/>
    <m/>
    <n v="218706"/>
    <x v="8"/>
    <n v="20044"/>
    <n v="20397"/>
    <n v="9363"/>
    <n v="5628"/>
    <n v="7213"/>
    <n v="5727"/>
    <n v="3468"/>
    <m/>
    <m/>
    <n v="9042"/>
    <m/>
    <m/>
    <m/>
    <m/>
    <n v="0"/>
    <n v="0"/>
    <m/>
    <m/>
    <m/>
    <m/>
    <m/>
    <m/>
    <m/>
    <m/>
    <m/>
    <m/>
    <m/>
    <m/>
  </r>
  <r>
    <x v="11"/>
    <s v="Williamsburg Technical College "/>
    <m/>
    <n v="218955"/>
    <x v="8"/>
    <n v="15847"/>
    <n v="13846"/>
    <n v="10182"/>
    <n v="6102"/>
    <n v="3651"/>
    <n v="1899"/>
    <n v="2014"/>
    <m/>
    <m/>
    <n v="5845"/>
    <m/>
    <m/>
    <m/>
    <m/>
    <n v="0"/>
    <n v="0"/>
    <m/>
    <m/>
    <m/>
    <m/>
    <m/>
    <m/>
    <m/>
    <m/>
    <m/>
    <m/>
    <m/>
    <m/>
  </r>
  <r>
    <x v="12"/>
    <s v="University of Memphis"/>
    <m/>
    <n v="220862"/>
    <x v="0"/>
    <n v="405032"/>
    <n v="414134"/>
    <n v="247000"/>
    <n v="232227"/>
    <n v="19611"/>
    <n v="20303"/>
    <n v="100487"/>
    <n v="102"/>
    <n v="35033"/>
    <n v="131866"/>
    <n v="0"/>
    <n v="27537"/>
    <n v="2799"/>
    <n v="2201"/>
    <n v="63984"/>
    <n v="68997"/>
    <n v="34570"/>
    <n v="32955"/>
    <n v="87"/>
    <n v="78"/>
    <n v="22996"/>
    <n v="255"/>
    <n v="2975"/>
    <n v="29499"/>
    <n v="225"/>
    <n v="3341"/>
    <n v="3101"/>
    <n v="2899"/>
  </r>
  <r>
    <x v="12"/>
    <s v="University of Tennessee, Knoxville"/>
    <m/>
    <n v="221759"/>
    <x v="0"/>
    <n v="644562"/>
    <n v="672972"/>
    <n v="602666"/>
    <n v="587265"/>
    <n v="0"/>
    <n v="0"/>
    <n v="36239"/>
    <n v="0"/>
    <n v="1620"/>
    <n v="81623"/>
    <n v="0"/>
    <n v="832"/>
    <n v="4037"/>
    <n v="3252"/>
    <n v="91235"/>
    <n v="98584"/>
    <n v="66616"/>
    <n v="58033"/>
    <n v="2127"/>
    <n v="1775"/>
    <n v="19236"/>
    <n v="12"/>
    <n v="969"/>
    <n v="36000"/>
    <n v="72"/>
    <n v="822"/>
    <n v="2275"/>
    <n v="1882"/>
  </r>
  <r>
    <x v="12"/>
    <s v="East Tennessee State University "/>
    <m/>
    <n v="220075"/>
    <x v="1"/>
    <n v="302716"/>
    <n v="296444"/>
    <n v="182037"/>
    <n v="166500"/>
    <n v="12122"/>
    <n v="10828"/>
    <n v="82575"/>
    <n v="9018"/>
    <n v="14559"/>
    <n v="96660"/>
    <n v="7234"/>
    <n v="13567"/>
    <n v="2405"/>
    <n v="1655"/>
    <n v="45398"/>
    <n v="45058"/>
    <n v="17091"/>
    <n v="14493"/>
    <n v="1150"/>
    <n v="469"/>
    <n v="23238"/>
    <n v="330"/>
    <n v="1376"/>
    <n v="27023"/>
    <n v="102"/>
    <n v="1438"/>
    <n v="2213"/>
    <n v="1533"/>
  </r>
  <r>
    <x v="12"/>
    <s v="Middle Tennessee State University "/>
    <m/>
    <n v="220978"/>
    <x v="1"/>
    <n v="495503"/>
    <n v="496957"/>
    <n v="380999"/>
    <n v="256789"/>
    <n v="7777"/>
    <n v="7497"/>
    <n v="82270"/>
    <n v="23"/>
    <n v="20484"/>
    <n v="213421"/>
    <n v="6"/>
    <n v="16424"/>
    <n v="3950"/>
    <n v="2820"/>
    <n v="34306"/>
    <n v="38815"/>
    <n v="18213"/>
    <n v="13645"/>
    <n v="1981"/>
    <n v="791"/>
    <n v="11493"/>
    <n v="0"/>
    <n v="619"/>
    <n v="22107"/>
    <n v="0"/>
    <n v="603"/>
    <n v="2000"/>
    <n v="1669"/>
  </r>
  <r>
    <x v="12"/>
    <s v="Tennessee State University "/>
    <m/>
    <n v="221838"/>
    <x v="1"/>
    <n v="156680"/>
    <n v="95724"/>
    <n v="118551"/>
    <n v="49849"/>
    <n v="18346"/>
    <n v="9226"/>
    <n v="17164"/>
    <n v="0"/>
    <n v="1935"/>
    <n v="30769"/>
    <n v="0"/>
    <n v="5571"/>
    <n v="684"/>
    <n v="309"/>
    <n v="24128"/>
    <n v="17346"/>
    <n v="10742"/>
    <n v="6762"/>
    <n v="5591"/>
    <n v="1628"/>
    <n v="6492"/>
    <n v="0"/>
    <n v="944"/>
    <n v="6833"/>
    <n v="0"/>
    <n v="1854"/>
    <n v="359"/>
    <n v="269"/>
  </r>
  <r>
    <x v="12"/>
    <s v="Austin Peay State University "/>
    <m/>
    <n v="219602"/>
    <x v="2"/>
    <n v="247322"/>
    <n v="225669"/>
    <n v="146208"/>
    <n v="66586"/>
    <n v="12995"/>
    <n v="7894"/>
    <n v="72863"/>
    <n v="0"/>
    <n v="14026"/>
    <n v="99019"/>
    <n v="0"/>
    <n v="50526"/>
    <n v="1230"/>
    <n v="1644"/>
    <n v="19334"/>
    <n v="20028"/>
    <n v="4376"/>
    <n v="2079"/>
    <n v="6"/>
    <n v="0"/>
    <n v="13289"/>
    <n v="0"/>
    <n v="1309"/>
    <n v="14854"/>
    <n v="0"/>
    <n v="2427"/>
    <n v="354"/>
    <n v="668"/>
  </r>
  <r>
    <x v="12"/>
    <s v="Tennessee Technological University "/>
    <m/>
    <n v="221847"/>
    <x v="2"/>
    <n v="242827"/>
    <n v="240055"/>
    <n v="146426"/>
    <n v="125584"/>
    <n v="5302"/>
    <n v="4399"/>
    <n v="26667"/>
    <n v="0"/>
    <n v="61836"/>
    <n v="37308"/>
    <n v="0"/>
    <n v="70348"/>
    <n v="2596"/>
    <n v="2416"/>
    <n v="16610"/>
    <n v="18595"/>
    <n v="3383"/>
    <n v="2914"/>
    <n v="141"/>
    <n v="54"/>
    <n v="10377"/>
    <n v="0"/>
    <n v="1775"/>
    <n v="11823"/>
    <n v="0"/>
    <n v="2950"/>
    <n v="934"/>
    <n v="854"/>
  </r>
  <r>
    <x v="12"/>
    <s v="University of Tennessee at Chattanooga"/>
    <m/>
    <n v="221740"/>
    <x v="2"/>
    <n v="282887"/>
    <n v="287566"/>
    <n v="221900"/>
    <n v="104332"/>
    <n v="447"/>
    <n v="140"/>
    <n v="59314"/>
    <n v="0"/>
    <n v="6"/>
    <n v="182164"/>
    <n v="0"/>
    <n v="3"/>
    <n v="1220"/>
    <n v="927"/>
    <n v="26353"/>
    <n v="27496"/>
    <n v="16261"/>
    <n v="8448"/>
    <n v="0"/>
    <n v="0"/>
    <n v="9812"/>
    <n v="0"/>
    <n v="0"/>
    <n v="18846"/>
    <n v="0"/>
    <n v="0"/>
    <n v="280"/>
    <n v="202"/>
  </r>
  <r>
    <x v="12"/>
    <s v="University of Tennessee at Martin"/>
    <s v="Reclassified: Met the criteria for Four-Year 4 in 2018-19, 2019-20, and 2020-21."/>
    <n v="221768"/>
    <x v="3"/>
    <n v="161305"/>
    <n v="159845"/>
    <n v="118058"/>
    <n v="77520"/>
    <n v="14637"/>
    <n v="11065"/>
    <n v="24076"/>
    <n v="4269"/>
    <n v="21"/>
    <n v="68830"/>
    <n v="2174"/>
    <n v="72"/>
    <n v="244"/>
    <n v="184"/>
    <n v="6765"/>
    <n v="11662"/>
    <n v="651"/>
    <n v="562"/>
    <n v="3"/>
    <n v="0"/>
    <n v="6111"/>
    <n v="0"/>
    <n v="0"/>
    <n v="11100"/>
    <n v="0"/>
    <n v="0"/>
    <n v="0"/>
    <n v="0"/>
  </r>
  <r>
    <x v="12"/>
    <s v="Chattanooga State Technical Community College "/>
    <m/>
    <n v="219824"/>
    <x v="6"/>
    <n v="161827"/>
    <n v="111678"/>
    <n v="96596"/>
    <n v="43222"/>
    <n v="9715"/>
    <n v="3836"/>
    <n v="43694"/>
    <n v="0"/>
    <n v="11521"/>
    <n v="53542"/>
    <n v="0"/>
    <n v="10785"/>
    <n v="301"/>
    <n v="293"/>
    <n v="0"/>
    <n v="0"/>
    <m/>
    <m/>
    <m/>
    <m/>
    <m/>
    <m/>
    <m/>
    <m/>
    <m/>
    <m/>
    <m/>
    <m/>
  </r>
  <r>
    <x v="12"/>
    <s v="Nashville State Technical Community College"/>
    <m/>
    <n v="221184"/>
    <x v="6"/>
    <n v="156550"/>
    <n v="146932"/>
    <n v="53784"/>
    <n v="26576"/>
    <n v="61731"/>
    <n v="29122"/>
    <n v="35867"/>
    <n v="0"/>
    <n v="4986"/>
    <n v="52562"/>
    <n v="33"/>
    <n v="38565"/>
    <n v="182"/>
    <n v="74"/>
    <n v="0"/>
    <n v="0"/>
    <m/>
    <m/>
    <m/>
    <m/>
    <m/>
    <m/>
    <m/>
    <m/>
    <m/>
    <m/>
    <m/>
    <m/>
  </r>
  <r>
    <x v="12"/>
    <s v="Pellissippi State Technical Community College"/>
    <m/>
    <n v="221643"/>
    <x v="6"/>
    <n v="214124"/>
    <n v="197859"/>
    <n v="106006"/>
    <n v="43804"/>
    <n v="58734"/>
    <n v="22255"/>
    <n v="42827"/>
    <n v="135"/>
    <n v="6311"/>
    <n v="116666"/>
    <n v="75"/>
    <n v="15005"/>
    <n v="111"/>
    <n v="54"/>
    <n v="0"/>
    <n v="0"/>
    <m/>
    <m/>
    <m/>
    <m/>
    <m/>
    <m/>
    <m/>
    <m/>
    <m/>
    <m/>
    <m/>
    <m/>
  </r>
  <r>
    <x v="12"/>
    <s v="Southwest Tennessee Community College"/>
    <m/>
    <n v="221485"/>
    <x v="6"/>
    <n v="163644"/>
    <n v="160122"/>
    <n v="0"/>
    <n v="0"/>
    <n v="115219"/>
    <n v="50423"/>
    <n v="38144"/>
    <n v="0"/>
    <n v="10249"/>
    <n v="76484"/>
    <n v="0"/>
    <n v="33035"/>
    <n v="32"/>
    <n v="180"/>
    <n v="0"/>
    <n v="0"/>
    <m/>
    <m/>
    <m/>
    <m/>
    <m/>
    <m/>
    <m/>
    <m/>
    <m/>
    <m/>
    <m/>
    <m/>
  </r>
  <r>
    <x v="12"/>
    <s v="Volunteer State Community College "/>
    <m/>
    <n v="222053"/>
    <x v="6"/>
    <n v="181863"/>
    <n v="152858"/>
    <n v="87752"/>
    <n v="35606"/>
    <n v="26774"/>
    <n v="13000"/>
    <n v="57843"/>
    <n v="170"/>
    <n v="8735"/>
    <n v="96348"/>
    <n v="1337"/>
    <n v="6126"/>
    <n v="589"/>
    <n v="441"/>
    <n v="0"/>
    <n v="0"/>
    <m/>
    <m/>
    <m/>
    <m/>
    <m/>
    <m/>
    <m/>
    <m/>
    <m/>
    <m/>
    <m/>
    <m/>
  </r>
  <r>
    <x v="12"/>
    <s v="Cleveland State Community College "/>
    <m/>
    <n v="219879"/>
    <x v="7"/>
    <n v="66625"/>
    <n v="65272"/>
    <n v="32224"/>
    <n v="16888"/>
    <n v="11068"/>
    <n v="6266"/>
    <n v="12796"/>
    <n v="78"/>
    <n v="9707"/>
    <n v="19006"/>
    <n v="51"/>
    <n v="22423"/>
    <n v="752"/>
    <n v="638"/>
    <n v="0"/>
    <n v="0"/>
    <m/>
    <m/>
    <m/>
    <m/>
    <m/>
    <m/>
    <m/>
    <m/>
    <m/>
    <m/>
    <m/>
    <m/>
  </r>
  <r>
    <x v="12"/>
    <s v="Columbia State Community College "/>
    <m/>
    <n v="219888"/>
    <x v="7"/>
    <n v="124217"/>
    <n v="80936"/>
    <n v="35638"/>
    <n v="16007"/>
    <n v="48703"/>
    <n v="20284"/>
    <n v="29607"/>
    <n v="516"/>
    <n v="9523"/>
    <n v="35326"/>
    <n v="0"/>
    <n v="9087"/>
    <n v="230"/>
    <n v="232"/>
    <n v="0"/>
    <n v="0"/>
    <m/>
    <m/>
    <m/>
    <m/>
    <m/>
    <m/>
    <m/>
    <m/>
    <m/>
    <m/>
    <m/>
    <m/>
  </r>
  <r>
    <x v="12"/>
    <s v="Jackson State Community College "/>
    <m/>
    <n v="220400"/>
    <x v="7"/>
    <n v="90485"/>
    <n v="69811"/>
    <n v="43115"/>
    <n v="19249"/>
    <n v="11322"/>
    <n v="6835"/>
    <n v="23676"/>
    <n v="3732"/>
    <n v="8606"/>
    <n v="33536"/>
    <n v="1402"/>
    <n v="8788"/>
    <n v="34"/>
    <n v="1"/>
    <n v="0"/>
    <n v="0"/>
    <m/>
    <m/>
    <m/>
    <m/>
    <m/>
    <m/>
    <m/>
    <m/>
    <m/>
    <m/>
    <m/>
    <m/>
  </r>
  <r>
    <x v="12"/>
    <s v="Motlow State Community College "/>
    <m/>
    <n v="221096"/>
    <x v="7"/>
    <n v="138618"/>
    <n v="120033"/>
    <n v="21203"/>
    <n v="9460"/>
    <n v="68173"/>
    <n v="36805"/>
    <n v="39276"/>
    <n v="5837"/>
    <n v="3852"/>
    <n v="61237"/>
    <n v="2512"/>
    <n v="9776"/>
    <n v="277"/>
    <n v="243"/>
    <n v="0"/>
    <n v="0"/>
    <m/>
    <m/>
    <m/>
    <m/>
    <m/>
    <m/>
    <m/>
    <m/>
    <m/>
    <m/>
    <m/>
    <m/>
  </r>
  <r>
    <x v="12"/>
    <s v="Northeast State Technical Community College"/>
    <m/>
    <n v="221908"/>
    <x v="7"/>
    <n v="123234"/>
    <n v="107998"/>
    <n v="60595"/>
    <n v="32806"/>
    <n v="34620"/>
    <n v="20933"/>
    <n v="21569"/>
    <n v="1915"/>
    <n v="4239"/>
    <n v="48996"/>
    <n v="727"/>
    <n v="4405"/>
    <n v="296"/>
    <n v="131"/>
    <n v="0"/>
    <n v="0"/>
    <m/>
    <m/>
    <m/>
    <m/>
    <m/>
    <m/>
    <m/>
    <m/>
    <m/>
    <m/>
    <m/>
    <m/>
  </r>
  <r>
    <x v="12"/>
    <s v="Roane State Community College "/>
    <m/>
    <n v="221397"/>
    <x v="7"/>
    <n v="113977"/>
    <n v="107267"/>
    <n v="15436"/>
    <n v="13436"/>
    <n v="54495"/>
    <n v="47461"/>
    <n v="29158"/>
    <n v="4251"/>
    <n v="10593"/>
    <n v="33808"/>
    <n v="3543"/>
    <n v="8970"/>
    <n v="44"/>
    <n v="49"/>
    <n v="0"/>
    <n v="0"/>
    <m/>
    <m/>
    <m/>
    <m/>
    <m/>
    <m/>
    <m/>
    <m/>
    <m/>
    <m/>
    <m/>
    <m/>
  </r>
  <r>
    <x v="12"/>
    <s v="Walters State Community College "/>
    <m/>
    <n v="222062"/>
    <x v="7"/>
    <n v="120814"/>
    <n v="108190"/>
    <n v="43511"/>
    <n v="19500"/>
    <n v="41197"/>
    <n v="21455"/>
    <n v="26072"/>
    <n v="6718"/>
    <n v="3316"/>
    <n v="31058"/>
    <n v="3512"/>
    <n v="32665"/>
    <n v="0"/>
    <n v="0"/>
    <n v="0"/>
    <n v="0"/>
    <m/>
    <m/>
    <m/>
    <m/>
    <m/>
    <m/>
    <m/>
    <m/>
    <m/>
    <m/>
    <m/>
    <m/>
  </r>
  <r>
    <x v="12"/>
    <s v="Dyersburg State Community College "/>
    <m/>
    <n v="220057"/>
    <x v="8"/>
    <n v="52670"/>
    <n v="51028"/>
    <n v="16279"/>
    <n v="13815"/>
    <n v="19381"/>
    <n v="16581"/>
    <n v="12698"/>
    <n v="3386"/>
    <n v="706"/>
    <n v="16548"/>
    <n v="2798"/>
    <n v="1020"/>
    <n v="220"/>
    <n v="266"/>
    <n v="0"/>
    <n v="0"/>
    <m/>
    <m/>
    <m/>
    <m/>
    <m/>
    <m/>
    <m/>
    <m/>
    <m/>
    <m/>
    <m/>
    <m/>
  </r>
  <r>
    <x v="12"/>
    <s v="Tennessee College of Applied Technology at Athens"/>
    <m/>
    <n v="219596"/>
    <x v="10"/>
    <n v="0"/>
    <n v="0"/>
    <m/>
    <m/>
    <m/>
    <m/>
    <m/>
    <m/>
    <m/>
    <m/>
    <m/>
    <m/>
    <m/>
    <m/>
    <n v="0"/>
    <n v="0"/>
    <m/>
    <m/>
    <m/>
    <m/>
    <m/>
    <m/>
    <m/>
    <m/>
    <m/>
    <m/>
    <m/>
    <m/>
  </r>
  <r>
    <x v="12"/>
    <s v="Tennessee College of Applied Technology at Chattanooga"/>
    <m/>
    <s v="219824B"/>
    <x v="10"/>
    <n v="0"/>
    <n v="0"/>
    <m/>
    <m/>
    <m/>
    <m/>
    <m/>
    <m/>
    <m/>
    <m/>
    <m/>
    <m/>
    <m/>
    <m/>
    <n v="0"/>
    <n v="0"/>
    <m/>
    <m/>
    <m/>
    <m/>
    <m/>
    <m/>
    <m/>
    <m/>
    <m/>
    <m/>
    <m/>
    <m/>
  </r>
  <r>
    <x v="12"/>
    <s v="Tennessee College of Applied Technology at Covington"/>
    <m/>
    <n v="219921"/>
    <x v="10"/>
    <n v="0"/>
    <n v="0"/>
    <m/>
    <m/>
    <m/>
    <m/>
    <m/>
    <m/>
    <m/>
    <m/>
    <m/>
    <m/>
    <m/>
    <m/>
    <n v="0"/>
    <n v="0"/>
    <m/>
    <m/>
    <m/>
    <m/>
    <m/>
    <m/>
    <m/>
    <m/>
    <m/>
    <m/>
    <m/>
    <m/>
  </r>
  <r>
    <x v="12"/>
    <s v="Tennessee College of Applied Technology at Crossville"/>
    <m/>
    <n v="221591"/>
    <x v="10"/>
    <n v="0"/>
    <n v="0"/>
    <m/>
    <m/>
    <m/>
    <m/>
    <m/>
    <m/>
    <m/>
    <m/>
    <m/>
    <m/>
    <m/>
    <m/>
    <n v="0"/>
    <n v="0"/>
    <m/>
    <m/>
    <m/>
    <m/>
    <m/>
    <m/>
    <m/>
    <m/>
    <m/>
    <m/>
    <m/>
    <m/>
  </r>
  <r>
    <x v="12"/>
    <s v="Tennessee College of Applied Technology at Crump"/>
    <m/>
    <n v="221430"/>
    <x v="10"/>
    <n v="0"/>
    <n v="0"/>
    <m/>
    <m/>
    <m/>
    <m/>
    <m/>
    <m/>
    <m/>
    <m/>
    <m/>
    <m/>
    <m/>
    <m/>
    <n v="0"/>
    <n v="0"/>
    <m/>
    <m/>
    <m/>
    <m/>
    <m/>
    <m/>
    <m/>
    <m/>
    <m/>
    <m/>
    <m/>
    <m/>
  </r>
  <r>
    <x v="12"/>
    <s v="Tennessee College of Applied Technology at Dickson"/>
    <m/>
    <n v="219994"/>
    <x v="10"/>
    <n v="0"/>
    <n v="0"/>
    <m/>
    <m/>
    <m/>
    <m/>
    <m/>
    <m/>
    <m/>
    <m/>
    <m/>
    <m/>
    <m/>
    <m/>
    <n v="0"/>
    <n v="0"/>
    <m/>
    <m/>
    <m/>
    <m/>
    <m/>
    <m/>
    <m/>
    <m/>
    <m/>
    <m/>
    <m/>
    <m/>
  </r>
  <r>
    <x v="12"/>
    <s v="Tennessee College of Applied Technology at Elizabethton"/>
    <m/>
    <n v="220127"/>
    <x v="10"/>
    <n v="0"/>
    <n v="0"/>
    <m/>
    <m/>
    <m/>
    <m/>
    <m/>
    <m/>
    <m/>
    <m/>
    <m/>
    <m/>
    <m/>
    <m/>
    <n v="0"/>
    <n v="0"/>
    <m/>
    <m/>
    <m/>
    <m/>
    <m/>
    <m/>
    <m/>
    <m/>
    <m/>
    <m/>
    <m/>
    <m/>
  </r>
  <r>
    <x v="12"/>
    <s v="Tennessee College of Applied Technology at Harriman"/>
    <m/>
    <n v="220251"/>
    <x v="10"/>
    <n v="0"/>
    <n v="0"/>
    <m/>
    <m/>
    <m/>
    <m/>
    <m/>
    <m/>
    <m/>
    <m/>
    <m/>
    <m/>
    <m/>
    <m/>
    <n v="0"/>
    <n v="0"/>
    <m/>
    <m/>
    <m/>
    <m/>
    <m/>
    <m/>
    <m/>
    <m/>
    <m/>
    <m/>
    <m/>
    <m/>
  </r>
  <r>
    <x v="12"/>
    <s v="Tennessee College of Applied Technology at Hartsville"/>
    <m/>
    <n v="220279"/>
    <x v="10"/>
    <n v="0"/>
    <n v="0"/>
    <m/>
    <m/>
    <m/>
    <m/>
    <m/>
    <m/>
    <m/>
    <m/>
    <m/>
    <m/>
    <m/>
    <m/>
    <n v="0"/>
    <n v="0"/>
    <m/>
    <m/>
    <m/>
    <m/>
    <m/>
    <m/>
    <m/>
    <m/>
    <m/>
    <m/>
    <m/>
    <m/>
  </r>
  <r>
    <x v="12"/>
    <s v="Tennessee College of Applied Technology at Hohenwald"/>
    <m/>
    <n v="220321"/>
    <x v="10"/>
    <n v="0"/>
    <n v="0"/>
    <m/>
    <m/>
    <m/>
    <m/>
    <m/>
    <m/>
    <m/>
    <m/>
    <m/>
    <m/>
    <m/>
    <m/>
    <n v="0"/>
    <n v="0"/>
    <m/>
    <m/>
    <m/>
    <m/>
    <m/>
    <m/>
    <m/>
    <m/>
    <m/>
    <m/>
    <m/>
    <m/>
  </r>
  <r>
    <x v="12"/>
    <s v="Tennessee College of Applied Technology at Jacksboro"/>
    <m/>
    <n v="220394"/>
    <x v="10"/>
    <n v="0"/>
    <n v="0"/>
    <m/>
    <m/>
    <m/>
    <m/>
    <m/>
    <m/>
    <m/>
    <m/>
    <m/>
    <m/>
    <m/>
    <m/>
    <n v="0"/>
    <n v="0"/>
    <m/>
    <m/>
    <m/>
    <m/>
    <m/>
    <m/>
    <m/>
    <m/>
    <m/>
    <m/>
    <m/>
    <m/>
  </r>
  <r>
    <x v="12"/>
    <s v="Tennessee College of Applied Technology at Jackson"/>
    <m/>
    <n v="221616"/>
    <x v="10"/>
    <n v="0"/>
    <n v="0"/>
    <m/>
    <m/>
    <m/>
    <m/>
    <m/>
    <m/>
    <m/>
    <m/>
    <m/>
    <m/>
    <m/>
    <m/>
    <n v="0"/>
    <n v="0"/>
    <m/>
    <m/>
    <m/>
    <m/>
    <m/>
    <m/>
    <m/>
    <m/>
    <m/>
    <m/>
    <m/>
    <m/>
  </r>
  <r>
    <x v="12"/>
    <s v="Tennessee College of Applied Technology at Knoxville"/>
    <m/>
    <n v="221625"/>
    <x v="10"/>
    <n v="0"/>
    <n v="0"/>
    <m/>
    <m/>
    <m/>
    <m/>
    <m/>
    <m/>
    <m/>
    <m/>
    <m/>
    <m/>
    <m/>
    <m/>
    <n v="0"/>
    <n v="0"/>
    <m/>
    <m/>
    <m/>
    <m/>
    <m/>
    <m/>
    <m/>
    <m/>
    <m/>
    <m/>
    <m/>
    <m/>
  </r>
  <r>
    <x v="12"/>
    <s v="Tennessee College of Applied Technology at Livingston"/>
    <m/>
    <n v="220640"/>
    <x v="10"/>
    <n v="0"/>
    <n v="0"/>
    <m/>
    <m/>
    <m/>
    <m/>
    <m/>
    <m/>
    <m/>
    <m/>
    <m/>
    <m/>
    <m/>
    <m/>
    <n v="0"/>
    <n v="0"/>
    <m/>
    <m/>
    <m/>
    <m/>
    <m/>
    <m/>
    <m/>
    <m/>
    <m/>
    <m/>
    <m/>
    <m/>
  </r>
  <r>
    <x v="12"/>
    <s v="Tennessee College of Applied Technology at McKenzie"/>
    <m/>
    <n v="220756"/>
    <x v="10"/>
    <n v="0"/>
    <n v="0"/>
    <m/>
    <m/>
    <m/>
    <m/>
    <m/>
    <m/>
    <m/>
    <m/>
    <m/>
    <m/>
    <m/>
    <m/>
    <n v="0"/>
    <n v="0"/>
    <m/>
    <m/>
    <m/>
    <m/>
    <m/>
    <m/>
    <m/>
    <m/>
    <m/>
    <m/>
    <m/>
    <m/>
  </r>
  <r>
    <x v="12"/>
    <s v="Tennessee College of Applied Technology at McMinnville"/>
    <m/>
    <n v="221607"/>
    <x v="10"/>
    <n v="0"/>
    <n v="0"/>
    <m/>
    <m/>
    <m/>
    <m/>
    <m/>
    <m/>
    <m/>
    <m/>
    <m/>
    <m/>
    <m/>
    <m/>
    <n v="0"/>
    <n v="0"/>
    <m/>
    <m/>
    <m/>
    <m/>
    <m/>
    <m/>
    <m/>
    <m/>
    <m/>
    <m/>
    <m/>
    <m/>
  </r>
  <r>
    <x v="12"/>
    <s v="Tennessee College of Applied Technology at Memphis"/>
    <s v="Met the criteria for Technical Institute or College 1 in 2019-20 and 2020-21."/>
    <n v="220853"/>
    <x v="10"/>
    <n v="0"/>
    <n v="0"/>
    <m/>
    <m/>
    <m/>
    <m/>
    <m/>
    <m/>
    <m/>
    <m/>
    <m/>
    <m/>
    <m/>
    <m/>
    <n v="0"/>
    <n v="0"/>
    <m/>
    <m/>
    <m/>
    <m/>
    <m/>
    <m/>
    <m/>
    <m/>
    <m/>
    <m/>
    <m/>
    <m/>
  </r>
  <r>
    <x v="12"/>
    <s v="Tennessee College of Applied Technology at Morristown"/>
    <m/>
    <n v="221050"/>
    <x v="10"/>
    <n v="0"/>
    <n v="0"/>
    <m/>
    <m/>
    <m/>
    <m/>
    <m/>
    <m/>
    <m/>
    <m/>
    <m/>
    <m/>
    <m/>
    <m/>
    <n v="0"/>
    <n v="0"/>
    <m/>
    <m/>
    <m/>
    <m/>
    <m/>
    <m/>
    <m/>
    <m/>
    <m/>
    <m/>
    <m/>
    <m/>
  </r>
  <r>
    <x v="12"/>
    <s v="Tennessee College of Applied Technology at Murfreesboro"/>
    <m/>
    <n v="221102"/>
    <x v="10"/>
    <n v="0"/>
    <n v="0"/>
    <m/>
    <m/>
    <m/>
    <m/>
    <m/>
    <m/>
    <m/>
    <m/>
    <m/>
    <m/>
    <m/>
    <m/>
    <n v="0"/>
    <n v="0"/>
    <m/>
    <m/>
    <m/>
    <m/>
    <m/>
    <m/>
    <m/>
    <m/>
    <m/>
    <m/>
    <m/>
    <m/>
  </r>
  <r>
    <x v="12"/>
    <s v="Tennessee College of Applied Technology at Nashville"/>
    <m/>
    <n v="248925"/>
    <x v="10"/>
    <n v="0"/>
    <n v="0"/>
    <m/>
    <m/>
    <m/>
    <m/>
    <m/>
    <m/>
    <m/>
    <m/>
    <m/>
    <m/>
    <m/>
    <m/>
    <n v="0"/>
    <n v="0"/>
    <m/>
    <m/>
    <m/>
    <m/>
    <m/>
    <m/>
    <m/>
    <m/>
    <m/>
    <m/>
    <m/>
    <m/>
  </r>
  <r>
    <x v="12"/>
    <s v="Tennessee College of Applied Technology at Newbern"/>
    <m/>
    <n v="221236"/>
    <x v="10"/>
    <n v="0"/>
    <n v="0"/>
    <m/>
    <m/>
    <m/>
    <m/>
    <m/>
    <m/>
    <m/>
    <m/>
    <m/>
    <m/>
    <m/>
    <m/>
    <n v="0"/>
    <n v="0"/>
    <m/>
    <m/>
    <m/>
    <m/>
    <m/>
    <m/>
    <m/>
    <m/>
    <m/>
    <m/>
    <m/>
    <m/>
  </r>
  <r>
    <x v="12"/>
    <s v="Tennessee College of Applied Technology at Oneida"/>
    <m/>
    <n v="221582"/>
    <x v="10"/>
    <n v="0"/>
    <n v="0"/>
    <m/>
    <m/>
    <m/>
    <m/>
    <m/>
    <m/>
    <m/>
    <m/>
    <m/>
    <m/>
    <m/>
    <m/>
    <n v="0"/>
    <n v="0"/>
    <m/>
    <m/>
    <m/>
    <m/>
    <m/>
    <m/>
    <m/>
    <m/>
    <m/>
    <m/>
    <m/>
    <m/>
  </r>
  <r>
    <x v="12"/>
    <s v="Tennessee College of Applied Technology at Paris"/>
    <m/>
    <n v="221281"/>
    <x v="10"/>
    <n v="0"/>
    <n v="0"/>
    <m/>
    <m/>
    <m/>
    <m/>
    <m/>
    <m/>
    <m/>
    <m/>
    <m/>
    <m/>
    <m/>
    <m/>
    <n v="0"/>
    <n v="0"/>
    <m/>
    <m/>
    <m/>
    <m/>
    <m/>
    <m/>
    <m/>
    <m/>
    <m/>
    <m/>
    <m/>
    <m/>
  </r>
  <r>
    <x v="12"/>
    <s v="Tennessee College of Applied Technology at Pulaski"/>
    <m/>
    <n v="221333"/>
    <x v="10"/>
    <n v="0"/>
    <n v="0"/>
    <m/>
    <m/>
    <m/>
    <m/>
    <m/>
    <m/>
    <m/>
    <m/>
    <m/>
    <m/>
    <m/>
    <m/>
    <n v="0"/>
    <n v="0"/>
    <m/>
    <m/>
    <m/>
    <m/>
    <m/>
    <m/>
    <m/>
    <m/>
    <m/>
    <m/>
    <m/>
    <m/>
  </r>
  <r>
    <x v="12"/>
    <s v="Tennessee College of Applied Technology at Ripley"/>
    <m/>
    <n v="221388"/>
    <x v="10"/>
    <n v="0"/>
    <n v="0"/>
    <m/>
    <m/>
    <m/>
    <m/>
    <m/>
    <m/>
    <m/>
    <m/>
    <m/>
    <m/>
    <m/>
    <m/>
    <n v="0"/>
    <n v="0"/>
    <m/>
    <m/>
    <m/>
    <m/>
    <m/>
    <m/>
    <m/>
    <m/>
    <m/>
    <m/>
    <m/>
    <m/>
  </r>
  <r>
    <x v="12"/>
    <s v="Tennessee College of Applied Technology at Shelbyville"/>
    <m/>
    <n v="221494"/>
    <x v="10"/>
    <n v="0"/>
    <n v="0"/>
    <m/>
    <m/>
    <m/>
    <m/>
    <m/>
    <m/>
    <m/>
    <m/>
    <m/>
    <m/>
    <m/>
    <m/>
    <n v="0"/>
    <n v="0"/>
    <m/>
    <m/>
    <m/>
    <m/>
    <m/>
    <m/>
    <m/>
    <m/>
    <m/>
    <m/>
    <m/>
    <m/>
  </r>
  <r>
    <x v="12"/>
    <s v="Tennessee College of Applied Technology at Whiteville"/>
    <m/>
    <n v="221634"/>
    <x v="10"/>
    <n v="0"/>
    <n v="0"/>
    <m/>
    <m/>
    <m/>
    <m/>
    <m/>
    <m/>
    <m/>
    <m/>
    <m/>
    <m/>
    <m/>
    <m/>
    <n v="0"/>
    <n v="0"/>
    <m/>
    <m/>
    <m/>
    <m/>
    <m/>
    <m/>
    <m/>
    <m/>
    <m/>
    <m/>
    <m/>
    <m/>
  </r>
  <r>
    <x v="13"/>
    <s v="Texas A&amp;M University "/>
    <m/>
    <n v="228723"/>
    <x v="0"/>
    <n v="0"/>
    <n v="1412275"/>
    <m/>
    <n v="823823"/>
    <m/>
    <n v="12230"/>
    <m/>
    <m/>
    <m/>
    <n v="570458"/>
    <n v="0"/>
    <n v="5764"/>
    <m/>
    <m/>
    <n v="0"/>
    <n v="230260"/>
    <m/>
    <n v="152391"/>
    <m/>
    <n v="5100"/>
    <m/>
    <m/>
    <m/>
    <n v="69891"/>
    <n v="312"/>
    <n v="2566"/>
    <m/>
    <m/>
  </r>
  <r>
    <x v="13"/>
    <s v="Texas Tech University "/>
    <m/>
    <n v="229115"/>
    <x v="0"/>
    <n v="0"/>
    <n v="888800"/>
    <m/>
    <n v="351427"/>
    <m/>
    <n v="10335"/>
    <m/>
    <m/>
    <m/>
    <n v="526744"/>
    <n v="294"/>
    <n v="0"/>
    <m/>
    <m/>
    <n v="0"/>
    <n v="129541"/>
    <m/>
    <n v="47673"/>
    <m/>
    <n v="1698"/>
    <m/>
    <m/>
    <m/>
    <n v="80170"/>
    <n v="0"/>
    <n v="0"/>
    <m/>
    <m/>
  </r>
  <r>
    <x v="13"/>
    <s v="University of Houston"/>
    <m/>
    <n v="225511"/>
    <x v="0"/>
    <n v="0"/>
    <n v="1001990"/>
    <m/>
    <n v="311905"/>
    <m/>
    <n v="6903"/>
    <m/>
    <m/>
    <m/>
    <n v="682997"/>
    <n v="185"/>
    <n v="0"/>
    <m/>
    <m/>
    <n v="0"/>
    <n v="173410"/>
    <m/>
    <n v="91616"/>
    <m/>
    <n v="642"/>
    <m/>
    <m/>
    <m/>
    <n v="81125"/>
    <n v="27"/>
    <n v="0"/>
    <m/>
    <m/>
  </r>
  <r>
    <x v="13"/>
    <s v="University of North Texas"/>
    <m/>
    <n v="227216"/>
    <x v="0"/>
    <n v="0"/>
    <n v="863539"/>
    <m/>
    <n v="338553"/>
    <m/>
    <n v="8181"/>
    <m/>
    <m/>
    <m/>
    <n v="300745"/>
    <n v="187022"/>
    <n v="29038"/>
    <m/>
    <m/>
    <n v="0"/>
    <n v="123365"/>
    <m/>
    <n v="45380"/>
    <m/>
    <n v="1763"/>
    <m/>
    <m/>
    <m/>
    <n v="51174"/>
    <n v="21454"/>
    <n v="3594"/>
    <m/>
    <m/>
  </r>
  <r>
    <x v="13"/>
    <s v="University of Texas at Arlington"/>
    <m/>
    <n v="228769"/>
    <x v="0"/>
    <n v="0"/>
    <n v="779723"/>
    <m/>
    <n v="529207"/>
    <m/>
    <n v="2931"/>
    <m/>
    <m/>
    <m/>
    <n v="247576"/>
    <n v="9"/>
    <n v="0"/>
    <m/>
    <m/>
    <n v="0"/>
    <n v="212826"/>
    <m/>
    <n v="74600"/>
    <m/>
    <n v="3678"/>
    <m/>
    <m/>
    <m/>
    <n v="134506"/>
    <n v="12"/>
    <n v="30"/>
    <m/>
    <m/>
  </r>
  <r>
    <x v="13"/>
    <s v="University of Texas at Austin"/>
    <m/>
    <n v="228778"/>
    <x v="0"/>
    <n v="0"/>
    <n v="1120460"/>
    <m/>
    <n v="464433"/>
    <m/>
    <n v="3935"/>
    <m/>
    <m/>
    <m/>
    <n v="633484"/>
    <n v="18557"/>
    <n v="51"/>
    <m/>
    <m/>
    <n v="0"/>
    <n v="233178"/>
    <m/>
    <n v="133947"/>
    <m/>
    <n v="292"/>
    <m/>
    <m/>
    <m/>
    <n v="95864"/>
    <n v="2403"/>
    <n v="672"/>
    <m/>
    <m/>
  </r>
  <r>
    <x v="13"/>
    <s v="University of Texas at Dallas"/>
    <m/>
    <n v="228787"/>
    <x v="0"/>
    <n v="0"/>
    <n v="572876"/>
    <m/>
    <n v="292499"/>
    <m/>
    <n v="2296"/>
    <m/>
    <m/>
    <m/>
    <n v="278081"/>
    <n v="0"/>
    <n v="0"/>
    <m/>
    <m/>
    <n v="0"/>
    <n v="135638"/>
    <m/>
    <n v="83071"/>
    <m/>
    <n v="448"/>
    <m/>
    <m/>
    <m/>
    <n v="52119"/>
    <n v="0"/>
    <n v="0"/>
    <m/>
    <m/>
  </r>
  <r>
    <x v="13"/>
    <s v="University of Texas at San Antonio"/>
    <m/>
    <n v="229027"/>
    <x v="0"/>
    <n v="0"/>
    <n v="742160"/>
    <m/>
    <n v="243315"/>
    <m/>
    <n v="1095"/>
    <m/>
    <m/>
    <m/>
    <n v="497315"/>
    <n v="147"/>
    <n v="288"/>
    <m/>
    <m/>
    <n v="0"/>
    <n v="75558"/>
    <m/>
    <n v="31449"/>
    <m/>
    <n v="702"/>
    <m/>
    <m/>
    <m/>
    <n v="43407"/>
    <n v="0"/>
    <n v="0"/>
    <m/>
    <m/>
  </r>
  <r>
    <x v="13"/>
    <s v="Texas State University"/>
    <m/>
    <n v="228459"/>
    <x v="1"/>
    <n v="0"/>
    <n v="860446"/>
    <m/>
    <n v="469716"/>
    <m/>
    <n v="11396"/>
    <m/>
    <m/>
    <m/>
    <n v="378945"/>
    <n v="255"/>
    <n v="134"/>
    <m/>
    <m/>
    <n v="0"/>
    <n v="72696"/>
    <m/>
    <n v="29815"/>
    <m/>
    <n v="7068"/>
    <m/>
    <m/>
    <m/>
    <n v="34916"/>
    <n v="477"/>
    <n v="420"/>
    <m/>
    <m/>
  </r>
  <r>
    <x v="13"/>
    <s v="Texas Woman's University"/>
    <s v="Met the requirments for 4-year 1 in 2020-21"/>
    <n v="229179"/>
    <x v="1"/>
    <n v="0"/>
    <n v="251440"/>
    <m/>
    <n v="103049"/>
    <m/>
    <n v="11730"/>
    <m/>
    <m/>
    <m/>
    <n v="136661"/>
    <n v="0"/>
    <n v="0"/>
    <m/>
    <m/>
    <n v="0"/>
    <n v="101598"/>
    <m/>
    <n v="30722"/>
    <m/>
    <n v="309"/>
    <m/>
    <m/>
    <m/>
    <n v="70431"/>
    <n v="136"/>
    <n v="0"/>
    <m/>
    <m/>
  </r>
  <r>
    <x v="13"/>
    <s v="University of Texas at El Paso"/>
    <s v="Met the requirments for 4 Year 1 in 2020-21"/>
    <n v="228796"/>
    <x v="1"/>
    <n v="0"/>
    <n v="519352"/>
    <m/>
    <n v="182198"/>
    <m/>
    <n v="685"/>
    <m/>
    <m/>
    <m/>
    <n v="336469"/>
    <n v="0"/>
    <n v="0"/>
    <m/>
    <m/>
    <n v="0"/>
    <n v="65249"/>
    <m/>
    <n v="26015"/>
    <m/>
    <n v="219"/>
    <m/>
    <m/>
    <m/>
    <n v="39015"/>
    <n v="0"/>
    <n v="0"/>
    <m/>
    <m/>
  </r>
  <r>
    <x v="13"/>
    <s v="Angelo State University"/>
    <m/>
    <n v="222831"/>
    <x v="2"/>
    <n v="0"/>
    <n v="193011"/>
    <m/>
    <n v="132800"/>
    <m/>
    <n v="0"/>
    <m/>
    <m/>
    <m/>
    <n v="60211"/>
    <n v="0"/>
    <n v="0"/>
    <m/>
    <m/>
    <n v="0"/>
    <n v="27476"/>
    <m/>
    <n v="6188"/>
    <m/>
    <n v="0"/>
    <m/>
    <m/>
    <m/>
    <n v="21288"/>
    <n v="0"/>
    <n v="0"/>
    <m/>
    <m/>
  </r>
  <r>
    <x v="13"/>
    <s v="Lamar University"/>
    <m/>
    <n v="226091"/>
    <x v="2"/>
    <n v="0"/>
    <n v="215931"/>
    <m/>
    <n v="79965"/>
    <m/>
    <n v="0"/>
    <m/>
    <m/>
    <m/>
    <n v="135966"/>
    <n v="0"/>
    <n v="0"/>
    <m/>
    <m/>
    <n v="0"/>
    <n v="141145"/>
    <m/>
    <n v="8003"/>
    <m/>
    <n v="54"/>
    <m/>
    <m/>
    <m/>
    <n v="133088"/>
    <n v="0"/>
    <n v="0"/>
    <m/>
    <m/>
  </r>
  <r>
    <x v="13"/>
    <s v="Midwestern State University"/>
    <m/>
    <n v="226833"/>
    <x v="2"/>
    <n v="0"/>
    <n v="121707"/>
    <m/>
    <n v="81492"/>
    <m/>
    <n v="781"/>
    <m/>
    <m/>
    <m/>
    <n v="39389"/>
    <n v="45"/>
    <n v="0"/>
    <m/>
    <m/>
    <n v="0"/>
    <n v="9659"/>
    <m/>
    <n v="2269"/>
    <m/>
    <n v="0"/>
    <m/>
    <m/>
    <m/>
    <n v="7390"/>
    <n v="0"/>
    <n v="0"/>
    <m/>
    <m/>
  </r>
  <r>
    <x v="13"/>
    <s v="Prairie View A&amp;M University"/>
    <m/>
    <n v="227526"/>
    <x v="2"/>
    <n v="0"/>
    <n v="225954"/>
    <m/>
    <n v="94845"/>
    <m/>
    <n v="6124"/>
    <m/>
    <m/>
    <m/>
    <n v="124985"/>
    <n v="0"/>
    <n v="0"/>
    <m/>
    <m/>
    <n v="0"/>
    <n v="12904"/>
    <m/>
    <n v="3150"/>
    <m/>
    <n v="1056"/>
    <m/>
    <m/>
    <m/>
    <n v="8698"/>
    <n v="0"/>
    <n v="0"/>
    <m/>
    <m/>
  </r>
  <r>
    <x v="13"/>
    <s v="Sam Houston State University "/>
    <m/>
    <n v="227881"/>
    <x v="2"/>
    <n v="0"/>
    <n v="478918"/>
    <m/>
    <n v="169547"/>
    <m/>
    <n v="1788"/>
    <m/>
    <m/>
    <m/>
    <n v="307583"/>
    <n v="0"/>
    <n v="0"/>
    <m/>
    <m/>
    <n v="0"/>
    <n v="43490"/>
    <m/>
    <n v="10805"/>
    <m/>
    <n v="66"/>
    <m/>
    <m/>
    <m/>
    <n v="32619"/>
    <n v="0"/>
    <n v="0"/>
    <m/>
    <m/>
  </r>
  <r>
    <x v="13"/>
    <s v="Stephen F. Austin State University"/>
    <m/>
    <n v="228431"/>
    <x v="2"/>
    <n v="0"/>
    <n v="277484"/>
    <m/>
    <n v="113256"/>
    <m/>
    <n v="5832"/>
    <m/>
    <m/>
    <m/>
    <n v="156053"/>
    <n v="1746"/>
    <n v="597"/>
    <m/>
    <m/>
    <n v="0"/>
    <n v="25189"/>
    <m/>
    <n v="6287"/>
    <m/>
    <n v="472"/>
    <m/>
    <m/>
    <m/>
    <n v="18360"/>
    <n v="16"/>
    <n v="54"/>
    <m/>
    <m/>
  </r>
  <r>
    <x v="13"/>
    <s v="Sul Ross State University "/>
    <m/>
    <n v="228501"/>
    <x v="2"/>
    <n v="0"/>
    <n v="28178"/>
    <m/>
    <n v="17397"/>
    <m/>
    <n v="120"/>
    <m/>
    <m/>
    <m/>
    <n v="7878"/>
    <n v="378"/>
    <n v="2405"/>
    <m/>
    <m/>
    <n v="0"/>
    <n v="6517"/>
    <m/>
    <n v="875"/>
    <m/>
    <n v="60"/>
    <m/>
    <m/>
    <m/>
    <n v="5377"/>
    <n v="4"/>
    <n v="201"/>
    <m/>
    <m/>
  </r>
  <r>
    <x v="13"/>
    <s v="Tarleton State University"/>
    <m/>
    <n v="228529"/>
    <x v="2"/>
    <n v="0"/>
    <n v="294766"/>
    <m/>
    <n v="88029"/>
    <m/>
    <n v="8358"/>
    <m/>
    <m/>
    <m/>
    <n v="198189"/>
    <n v="190"/>
    <n v="0"/>
    <m/>
    <m/>
    <n v="0"/>
    <n v="33580"/>
    <m/>
    <n v="1695"/>
    <m/>
    <n v="1983"/>
    <m/>
    <m/>
    <m/>
    <n v="29869"/>
    <n v="33"/>
    <n v="0"/>
    <m/>
    <m/>
  </r>
  <r>
    <x v="13"/>
    <s v="Texas A&amp;M International University"/>
    <m/>
    <n v="226152"/>
    <x v="2"/>
    <n v="0"/>
    <n v="181203"/>
    <m/>
    <n v="130387"/>
    <m/>
    <n v="516"/>
    <m/>
    <m/>
    <m/>
    <n v="50300"/>
    <n v="0"/>
    <n v="0"/>
    <m/>
    <m/>
    <n v="0"/>
    <n v="22151"/>
    <m/>
    <n v="5095"/>
    <m/>
    <n v="81"/>
    <m/>
    <m/>
    <m/>
    <n v="16975"/>
    <n v="0"/>
    <n v="0"/>
    <m/>
    <m/>
  </r>
  <r>
    <x v="13"/>
    <s v="Texas A&amp;M University-Commerce"/>
    <m/>
    <n v="224554"/>
    <x v="2"/>
    <n v="0"/>
    <n v="204988"/>
    <m/>
    <n v="52968"/>
    <m/>
    <n v="11266"/>
    <m/>
    <m/>
    <m/>
    <n v="140661"/>
    <n v="93"/>
    <n v="0"/>
    <m/>
    <m/>
    <n v="0"/>
    <n v="61837"/>
    <m/>
    <n v="5424"/>
    <m/>
    <n v="1672"/>
    <m/>
    <m/>
    <m/>
    <n v="54726"/>
    <n v="15"/>
    <n v="0"/>
    <m/>
    <m/>
  </r>
  <r>
    <x v="13"/>
    <s v="Texas A&amp;M University-Corpus Christi "/>
    <s v="Met the criteria for Four-Year 2 in 2019-20."/>
    <n v="224147"/>
    <x v="2"/>
    <n v="0"/>
    <n v="224349"/>
    <m/>
    <n v="105385"/>
    <m/>
    <n v="0"/>
    <m/>
    <m/>
    <m/>
    <n v="118917"/>
    <n v="47"/>
    <n v="0"/>
    <m/>
    <m/>
    <n v="0"/>
    <n v="42530"/>
    <m/>
    <n v="7224"/>
    <m/>
    <n v="0"/>
    <m/>
    <m/>
    <m/>
    <n v="35303"/>
    <n v="3"/>
    <n v="0"/>
    <m/>
    <m/>
  </r>
  <r>
    <x v="13"/>
    <s v="Texas A&amp;M University-Kingsville"/>
    <m/>
    <n v="228705"/>
    <x v="2"/>
    <n v="0"/>
    <n v="142771"/>
    <m/>
    <n v="82918"/>
    <m/>
    <n v="2704"/>
    <m/>
    <m/>
    <m/>
    <n v="47202"/>
    <n v="9947"/>
    <n v="0"/>
    <m/>
    <m/>
    <n v="0"/>
    <n v="24117"/>
    <m/>
    <n v="12077"/>
    <m/>
    <n v="75"/>
    <m/>
    <m/>
    <m/>
    <n v="10778"/>
    <n v="1187"/>
    <n v="0"/>
    <m/>
    <m/>
  </r>
  <r>
    <x v="13"/>
    <s v="Texas Southern University "/>
    <m/>
    <n v="229063"/>
    <x v="2"/>
    <n v="0"/>
    <n v="157667"/>
    <m/>
    <n v="91243"/>
    <m/>
    <n v="48"/>
    <m/>
    <m/>
    <m/>
    <n v="0"/>
    <n v="0"/>
    <n v="66376"/>
    <m/>
    <m/>
    <n v="0"/>
    <n v="41935"/>
    <m/>
    <n v="29399"/>
    <m/>
    <n v="0"/>
    <m/>
    <m/>
    <m/>
    <n v="0"/>
    <n v="0"/>
    <n v="12536"/>
    <m/>
    <m/>
  </r>
  <r>
    <x v="13"/>
    <s v="University of Houston-Clear Lake "/>
    <m/>
    <n v="225414"/>
    <x v="2"/>
    <n v="0"/>
    <n v="151280"/>
    <m/>
    <n v="51744"/>
    <m/>
    <n v="4557"/>
    <m/>
    <m/>
    <m/>
    <n v="94979"/>
    <n v="0"/>
    <n v="0"/>
    <m/>
    <m/>
    <n v="0"/>
    <n v="41126"/>
    <m/>
    <n v="10572"/>
    <m/>
    <n v="4194"/>
    <m/>
    <m/>
    <m/>
    <n v="26360"/>
    <n v="0"/>
    <n v="0"/>
    <m/>
    <m/>
  </r>
  <r>
    <x v="13"/>
    <s v="University of Texas at Tyler"/>
    <m/>
    <n v="228802"/>
    <x v="2"/>
    <n v="0"/>
    <n v="179820"/>
    <m/>
    <n v="55022"/>
    <m/>
    <n v="8697"/>
    <m/>
    <m/>
    <m/>
    <n v="115077"/>
    <n v="1024"/>
    <n v="0"/>
    <m/>
    <m/>
    <n v="0"/>
    <n v="38854"/>
    <m/>
    <n v="3651"/>
    <m/>
    <n v="18"/>
    <m/>
    <m/>
    <m/>
    <n v="35122"/>
    <n v="63"/>
    <n v="0"/>
    <m/>
    <m/>
  </r>
  <r>
    <x v="13"/>
    <s v="University of Texas Permian Basin"/>
    <m/>
    <n v="229018"/>
    <x v="2"/>
    <n v="0"/>
    <n v="102741"/>
    <m/>
    <n v="31108"/>
    <m/>
    <n v="81"/>
    <m/>
    <m/>
    <m/>
    <n v="71552"/>
    <n v="0"/>
    <n v="0"/>
    <m/>
    <m/>
    <n v="0"/>
    <n v="15981"/>
    <m/>
    <n v="1716"/>
    <m/>
    <n v="0"/>
    <m/>
    <m/>
    <m/>
    <n v="14265"/>
    <n v="0"/>
    <n v="0"/>
    <m/>
    <m/>
  </r>
  <r>
    <x v="13"/>
    <s v="University of Texas-Rio Grande Valley"/>
    <m/>
    <n v="227368"/>
    <x v="2"/>
    <n v="0"/>
    <n v="722418"/>
    <m/>
    <n v="198346"/>
    <m/>
    <n v="2653"/>
    <m/>
    <m/>
    <m/>
    <n v="514775"/>
    <n v="6644"/>
    <n v="0"/>
    <m/>
    <m/>
    <n v="0"/>
    <n v="89493"/>
    <m/>
    <n v="14757"/>
    <m/>
    <n v="456"/>
    <m/>
    <m/>
    <m/>
    <n v="72742"/>
    <n v="1538"/>
    <n v="0"/>
    <m/>
    <m/>
  </r>
  <r>
    <x v="13"/>
    <s v="West Texas A&amp;M University"/>
    <m/>
    <n v="229814"/>
    <x v="2"/>
    <n v="0"/>
    <n v="187090"/>
    <m/>
    <n v="113689"/>
    <m/>
    <n v="303"/>
    <m/>
    <m/>
    <m/>
    <n v="73098"/>
    <n v="0"/>
    <n v="0"/>
    <m/>
    <m/>
    <n v="0"/>
    <n v="38575"/>
    <m/>
    <n v="5400"/>
    <m/>
    <n v="0"/>
    <m/>
    <m/>
    <m/>
    <n v="33175"/>
    <n v="0"/>
    <n v="0"/>
    <m/>
    <m/>
  </r>
  <r>
    <x v="13"/>
    <s v="Texas A&amp;M -Texarkana"/>
    <m/>
    <n v="224545"/>
    <x v="3"/>
    <n v="0"/>
    <n v="43513"/>
    <m/>
    <n v="14065"/>
    <m/>
    <n v="772"/>
    <m/>
    <m/>
    <m/>
    <n v="28544"/>
    <n v="132"/>
    <n v="0"/>
    <m/>
    <m/>
    <n v="0"/>
    <n v="5528"/>
    <m/>
    <n v="433"/>
    <m/>
    <n v="75"/>
    <m/>
    <m/>
    <m/>
    <n v="5020"/>
    <n v="0"/>
    <n v="0"/>
    <m/>
    <m/>
  </r>
  <r>
    <x v="13"/>
    <s v="Texas A&amp;M University-Central Texas"/>
    <s v="Reclassified: Met the criteria for Four-Year 3 in 2018-19 ,2019-20, and 2020-21"/>
    <n v="483036"/>
    <x v="2"/>
    <n v="0"/>
    <n v="39440"/>
    <m/>
    <n v="10185"/>
    <m/>
    <n v="444"/>
    <m/>
    <m/>
    <m/>
    <n v="27142"/>
    <n v="1669"/>
    <n v="0"/>
    <m/>
    <m/>
    <n v="0"/>
    <n v="7891"/>
    <m/>
    <n v="2134"/>
    <m/>
    <n v="0"/>
    <m/>
    <m/>
    <m/>
    <n v="5508"/>
    <n v="249"/>
    <n v="0"/>
    <m/>
    <m/>
  </r>
  <r>
    <x v="13"/>
    <s v="University of Houston-Downtown"/>
    <m/>
    <n v="225432"/>
    <x v="3"/>
    <n v="0"/>
    <n v="293542"/>
    <m/>
    <n v="55135"/>
    <m/>
    <n v="3035"/>
    <m/>
    <m/>
    <m/>
    <n v="235043"/>
    <n v="329"/>
    <n v="0"/>
    <m/>
    <m/>
    <n v="0"/>
    <n v="27336"/>
    <m/>
    <n v="1077"/>
    <m/>
    <n v="0"/>
    <m/>
    <m/>
    <m/>
    <n v="26220"/>
    <n v="39"/>
    <n v="0"/>
    <m/>
    <m/>
  </r>
  <r>
    <x v="13"/>
    <s v="University of Houston-Victoria"/>
    <m/>
    <n v="225502"/>
    <x v="3"/>
    <n v="0"/>
    <n v="75176"/>
    <m/>
    <n v="10029"/>
    <m/>
    <n v="1404"/>
    <m/>
    <m/>
    <m/>
    <n v="61964"/>
    <n v="1779"/>
    <n v="0"/>
    <m/>
    <m/>
    <n v="0"/>
    <n v="24568"/>
    <m/>
    <n v="127"/>
    <m/>
    <n v="769"/>
    <m/>
    <m/>
    <m/>
    <n v="22997"/>
    <n v="675"/>
    <n v="0"/>
    <m/>
    <m/>
  </r>
  <r>
    <x v="13"/>
    <s v="Sul Ross State University-Rio Grande College"/>
    <m/>
    <s v="228501B"/>
    <x v="4"/>
    <n v="0"/>
    <n v="14314"/>
    <m/>
    <n v="629"/>
    <m/>
    <n v="168"/>
    <m/>
    <m/>
    <m/>
    <n v="9309"/>
    <n v="2142"/>
    <n v="2066"/>
    <m/>
    <m/>
    <n v="0"/>
    <n v="1512"/>
    <m/>
    <n v="192"/>
    <m/>
    <n v="120"/>
    <m/>
    <m/>
    <m/>
    <n v="948"/>
    <n v="90"/>
    <n v="162"/>
    <m/>
    <m/>
  </r>
  <r>
    <x v="13"/>
    <s v="Texas A&amp;M University at Galveston"/>
    <m/>
    <n v="228714"/>
    <x v="4"/>
    <n v="0"/>
    <n v="50583"/>
    <m/>
    <n v="28418"/>
    <m/>
    <n v="5621"/>
    <m/>
    <m/>
    <m/>
    <n v="16475"/>
    <n v="9"/>
    <n v="60"/>
    <m/>
    <m/>
    <n v="0"/>
    <n v="2949"/>
    <m/>
    <n v="1326"/>
    <m/>
    <n v="143"/>
    <m/>
    <m/>
    <m/>
    <n v="1446"/>
    <n v="0"/>
    <n v="34"/>
    <m/>
    <m/>
  </r>
  <r>
    <x v="13"/>
    <s v="Texas A&amp;M University-San Antonio"/>
    <s v="Reclassified: Met the criteria for Four-Year 4 in 2018-19 and 2019-20, and 2021"/>
    <n v="870501"/>
    <x v="3"/>
    <n v="0"/>
    <n v="134983"/>
    <m/>
    <n v="45530"/>
    <m/>
    <n v="807"/>
    <m/>
    <m/>
    <m/>
    <n v="88493"/>
    <n v="0"/>
    <n v="153"/>
    <m/>
    <m/>
    <n v="0"/>
    <n v="10713"/>
    <m/>
    <n v="2115"/>
    <m/>
    <n v="0"/>
    <m/>
    <m/>
    <m/>
    <n v="7482"/>
    <n v="0"/>
    <n v="1116"/>
    <m/>
    <m/>
  </r>
  <r>
    <x v="13"/>
    <s v="Brazosport College "/>
    <s v="Met the criteria Two-Year 2 in 2020-21"/>
    <n v="223506"/>
    <x v="13"/>
    <n v="0"/>
    <n v="66819"/>
    <m/>
    <n v="22631"/>
    <m/>
    <n v="1074"/>
    <m/>
    <m/>
    <m/>
    <n v="43114"/>
    <n v="0"/>
    <n v="0"/>
    <m/>
    <m/>
    <n v="0"/>
    <n v="0"/>
    <m/>
    <n v="0"/>
    <m/>
    <n v="0"/>
    <m/>
    <m/>
    <m/>
    <n v="0"/>
    <n v="0"/>
    <n v="0"/>
    <m/>
    <m/>
  </r>
  <r>
    <x v="13"/>
    <s v="Midland College "/>
    <s v="Met the criteria Two-Year 2 in 2020-21"/>
    <n v="226806"/>
    <x v="13"/>
    <n v="0"/>
    <n v="87722"/>
    <m/>
    <n v="28881"/>
    <m/>
    <n v="9972"/>
    <m/>
    <m/>
    <m/>
    <n v="48230"/>
    <n v="639"/>
    <n v="0"/>
    <m/>
    <m/>
    <n v="0"/>
    <n v="0"/>
    <m/>
    <n v="0"/>
    <m/>
    <n v="0"/>
    <m/>
    <m/>
    <m/>
    <n v="0"/>
    <n v="0"/>
    <n v="0"/>
    <m/>
    <m/>
  </r>
  <r>
    <x v="13"/>
    <s v="South Texas College"/>
    <s v="Met the critera for Two-Year 1 in 2020-21"/>
    <n v="409315"/>
    <x v="13"/>
    <n v="0"/>
    <n v="591272"/>
    <m/>
    <n v="213381"/>
    <m/>
    <n v="0"/>
    <m/>
    <m/>
    <m/>
    <n v="377891"/>
    <n v="0"/>
    <n v="0"/>
    <m/>
    <m/>
    <n v="0"/>
    <n v="0"/>
    <m/>
    <n v="0"/>
    <m/>
    <n v="0"/>
    <m/>
    <m/>
    <m/>
    <n v="0"/>
    <n v="0"/>
    <n v="0"/>
    <m/>
    <m/>
  </r>
  <r>
    <x v="13"/>
    <s v="Amarillo College "/>
    <m/>
    <n v="222576"/>
    <x v="6"/>
    <n v="0"/>
    <n v="166868"/>
    <m/>
    <n v="77187"/>
    <m/>
    <n v="7069"/>
    <m/>
    <m/>
    <m/>
    <n v="82306"/>
    <n v="306"/>
    <n v="0"/>
    <m/>
    <m/>
    <n v="0"/>
    <n v="0"/>
    <m/>
    <n v="0"/>
    <m/>
    <n v="0"/>
    <m/>
    <m/>
    <m/>
    <n v="0"/>
    <n v="0"/>
    <n v="0"/>
    <m/>
    <m/>
  </r>
  <r>
    <x v="13"/>
    <s v="Austin Community College "/>
    <s v="Met the criteria for Two-Year with Bachelor's in 2019-20."/>
    <n v="222992"/>
    <x v="6"/>
    <n v="0"/>
    <n v="722940"/>
    <m/>
    <n v="231307"/>
    <m/>
    <n v="20846"/>
    <m/>
    <m/>
    <m/>
    <n v="470787"/>
    <n v="0"/>
    <n v="0"/>
    <m/>
    <m/>
    <n v="0"/>
    <n v="0"/>
    <m/>
    <n v="0"/>
    <m/>
    <n v="0"/>
    <m/>
    <m/>
    <m/>
    <n v="0"/>
    <n v="0"/>
    <n v="0"/>
    <m/>
    <m/>
  </r>
  <r>
    <x v="13"/>
    <s v="Blinn College"/>
    <m/>
    <n v="223427"/>
    <x v="6"/>
    <n v="0"/>
    <n v="408413"/>
    <m/>
    <n v="25308"/>
    <m/>
    <n v="107915"/>
    <m/>
    <m/>
    <m/>
    <n v="265522"/>
    <n v="9665"/>
    <n v="3"/>
    <m/>
    <m/>
    <n v="0"/>
    <n v="0"/>
    <m/>
    <n v="0"/>
    <m/>
    <n v="0"/>
    <m/>
    <m/>
    <m/>
    <n v="0"/>
    <n v="0"/>
    <n v="0"/>
    <m/>
    <m/>
  </r>
  <r>
    <x v="13"/>
    <s v="Brookhaven College (DCCCD)"/>
    <s v="Met the criteria Two-Year 2 in 2020-21"/>
    <n v="223524"/>
    <x v="6"/>
    <n v="0"/>
    <n v="135968"/>
    <m/>
    <n v="50660"/>
    <m/>
    <n v="4186"/>
    <m/>
    <m/>
    <m/>
    <n v="81122"/>
    <n v="0"/>
    <n v="0"/>
    <m/>
    <m/>
    <n v="0"/>
    <n v="0"/>
    <m/>
    <n v="0"/>
    <m/>
    <n v="0"/>
    <m/>
    <m/>
    <m/>
    <n v="0"/>
    <n v="0"/>
    <n v="0"/>
    <m/>
    <m/>
  </r>
  <r>
    <x v="13"/>
    <s v="Central Texas College "/>
    <m/>
    <n v="223816"/>
    <x v="6"/>
    <n v="0"/>
    <n v="201609"/>
    <m/>
    <n v="32259"/>
    <m/>
    <n v="13078"/>
    <m/>
    <m/>
    <m/>
    <n v="136438"/>
    <n v="19647"/>
    <n v="187"/>
    <m/>
    <m/>
    <n v="0"/>
    <n v="0"/>
    <m/>
    <n v="0"/>
    <m/>
    <n v="0"/>
    <m/>
    <m/>
    <m/>
    <n v="0"/>
    <n v="0"/>
    <n v="0"/>
    <m/>
    <m/>
  </r>
  <r>
    <x v="13"/>
    <s v="Collin County Community College District"/>
    <m/>
    <n v="247834"/>
    <x v="6"/>
    <n v="0"/>
    <n v="640606"/>
    <m/>
    <n v="208802"/>
    <m/>
    <n v="41879"/>
    <m/>
    <m/>
    <m/>
    <n v="389835"/>
    <n v="0"/>
    <n v="90"/>
    <m/>
    <m/>
    <n v="0"/>
    <n v="0"/>
    <m/>
    <n v="0"/>
    <m/>
    <n v="0"/>
    <m/>
    <m/>
    <m/>
    <n v="0"/>
    <n v="0"/>
    <n v="0"/>
    <m/>
    <m/>
  </r>
  <r>
    <x v="13"/>
    <s v="Del Mar College "/>
    <m/>
    <n v="224350"/>
    <x v="6"/>
    <n v="0"/>
    <n v="193052"/>
    <m/>
    <n v="95810"/>
    <m/>
    <n v="4207"/>
    <m/>
    <m/>
    <m/>
    <n v="91076"/>
    <n v="1959"/>
    <n v="0"/>
    <m/>
    <m/>
    <n v="0"/>
    <n v="0"/>
    <m/>
    <n v="0"/>
    <m/>
    <n v="0"/>
    <m/>
    <m/>
    <m/>
    <n v="0"/>
    <n v="0"/>
    <n v="0"/>
    <m/>
    <m/>
  </r>
  <r>
    <x v="13"/>
    <s v="Eastfield College (DCCCD)"/>
    <m/>
    <n v="224572"/>
    <x v="6"/>
    <n v="0"/>
    <n v="193615"/>
    <m/>
    <n v="70359"/>
    <m/>
    <n v="21301"/>
    <m/>
    <m/>
    <m/>
    <n v="101834"/>
    <n v="0"/>
    <n v="121"/>
    <m/>
    <m/>
    <n v="0"/>
    <n v="0"/>
    <m/>
    <n v="0"/>
    <m/>
    <n v="0"/>
    <m/>
    <m/>
    <m/>
    <n v="0"/>
    <n v="0"/>
    <n v="0"/>
    <m/>
    <m/>
  </r>
  <r>
    <x v="13"/>
    <s v="El Centro College  (DCCCD)"/>
    <m/>
    <n v="224615"/>
    <x v="6"/>
    <n v="0"/>
    <n v="107210"/>
    <m/>
    <n v="39319"/>
    <m/>
    <n v="7960"/>
    <m/>
    <m/>
    <m/>
    <n v="59931"/>
    <n v="0"/>
    <n v="0"/>
    <m/>
    <m/>
    <n v="0"/>
    <n v="0"/>
    <m/>
    <n v="0"/>
    <m/>
    <n v="0"/>
    <m/>
    <m/>
    <m/>
    <n v="0"/>
    <n v="0"/>
    <n v="0"/>
    <m/>
    <m/>
  </r>
  <r>
    <x v="13"/>
    <s v="El Paso County Community College District"/>
    <m/>
    <n v="224642"/>
    <x v="6"/>
    <n v="0"/>
    <n v="489541"/>
    <m/>
    <n v="144491"/>
    <m/>
    <n v="34137"/>
    <m/>
    <m/>
    <m/>
    <n v="310913"/>
    <n v="0"/>
    <n v="0"/>
    <m/>
    <m/>
    <n v="0"/>
    <n v="0"/>
    <m/>
    <n v="0"/>
    <m/>
    <n v="0"/>
    <m/>
    <m/>
    <m/>
    <n v="0"/>
    <n v="0"/>
    <n v="0"/>
    <m/>
    <m/>
  </r>
  <r>
    <x v="13"/>
    <s v="Houston Community College"/>
    <m/>
    <n v="225423"/>
    <x v="6"/>
    <n v="0"/>
    <n v="955174"/>
    <m/>
    <n v="223918"/>
    <m/>
    <n v="75957"/>
    <m/>
    <m/>
    <m/>
    <n v="655299"/>
    <n v="0"/>
    <n v="0"/>
    <m/>
    <m/>
    <n v="0"/>
    <n v="0"/>
    <m/>
    <n v="0"/>
    <m/>
    <n v="0"/>
    <m/>
    <m/>
    <m/>
    <n v="0"/>
    <n v="0"/>
    <n v="0"/>
    <m/>
    <m/>
  </r>
  <r>
    <x v="13"/>
    <s v="Laredo College "/>
    <m/>
    <n v="226134"/>
    <x v="6"/>
    <n v="0"/>
    <n v="145391"/>
    <m/>
    <n v="47717"/>
    <m/>
    <n v="23119"/>
    <m/>
    <m/>
    <m/>
    <n v="74246"/>
    <n v="309"/>
    <n v="0"/>
    <m/>
    <m/>
    <n v="0"/>
    <n v="0"/>
    <m/>
    <n v="0"/>
    <m/>
    <n v="0"/>
    <m/>
    <m/>
    <m/>
    <n v="0"/>
    <n v="0"/>
    <n v="0"/>
    <m/>
    <m/>
  </r>
  <r>
    <x v="13"/>
    <s v="Lone Star College System District"/>
    <m/>
    <n v="227182"/>
    <x v="6"/>
    <n v="0"/>
    <n v="1236648"/>
    <m/>
    <n v="314472"/>
    <m/>
    <n v="90811"/>
    <m/>
    <m/>
    <m/>
    <n v="831365"/>
    <n v="0"/>
    <n v="0"/>
    <m/>
    <m/>
    <n v="0"/>
    <n v="0"/>
    <m/>
    <n v="0"/>
    <m/>
    <n v="0"/>
    <m/>
    <m/>
    <m/>
    <n v="0"/>
    <n v="0"/>
    <n v="0"/>
    <m/>
    <m/>
  </r>
  <r>
    <x v="13"/>
    <s v="McLennan Community College "/>
    <m/>
    <n v="226578"/>
    <x v="6"/>
    <n v="0"/>
    <n v="168316"/>
    <m/>
    <n v="41760"/>
    <m/>
    <n v="0"/>
    <m/>
    <m/>
    <m/>
    <n v="126385"/>
    <n v="171"/>
    <n v="0"/>
    <m/>
    <m/>
    <n v="0"/>
    <n v="0"/>
    <m/>
    <n v="0"/>
    <m/>
    <n v="0"/>
    <m/>
    <m/>
    <m/>
    <n v="0"/>
    <n v="0"/>
    <n v="0"/>
    <m/>
    <m/>
  </r>
  <r>
    <x v="13"/>
    <s v="Mountain View College  (DCCCD)"/>
    <m/>
    <n v="226930"/>
    <x v="6"/>
    <n v="0"/>
    <n v="119701"/>
    <m/>
    <n v="45733"/>
    <m/>
    <n v="6261"/>
    <m/>
    <m/>
    <m/>
    <n v="67707"/>
    <n v="0"/>
    <n v="0"/>
    <m/>
    <m/>
    <n v="0"/>
    <n v="0"/>
    <m/>
    <n v="0"/>
    <m/>
    <n v="0"/>
    <m/>
    <m/>
    <m/>
    <n v="0"/>
    <n v="0"/>
    <n v="0"/>
    <m/>
    <m/>
  </r>
  <r>
    <x v="13"/>
    <s v="Navarro College "/>
    <m/>
    <n v="227146"/>
    <x v="6"/>
    <n v="0"/>
    <n v="151825"/>
    <m/>
    <n v="35423"/>
    <m/>
    <n v="54239"/>
    <m/>
    <m/>
    <m/>
    <n v="62163"/>
    <n v="0"/>
    <n v="0"/>
    <m/>
    <m/>
    <n v="0"/>
    <n v="0"/>
    <m/>
    <n v="0"/>
    <m/>
    <n v="0"/>
    <m/>
    <m/>
    <m/>
    <n v="0"/>
    <n v="0"/>
    <n v="0"/>
    <m/>
    <m/>
  </r>
  <r>
    <x v="13"/>
    <s v="North Central Texas Community College"/>
    <m/>
    <n v="224110"/>
    <x v="6"/>
    <n v="0"/>
    <n v="168484"/>
    <m/>
    <n v="12104"/>
    <m/>
    <n v="42060"/>
    <m/>
    <m/>
    <m/>
    <n v="114155"/>
    <n v="150"/>
    <n v="15"/>
    <m/>
    <m/>
    <n v="0"/>
    <n v="0"/>
    <m/>
    <n v="0"/>
    <m/>
    <n v="0"/>
    <m/>
    <m/>
    <m/>
    <n v="0"/>
    <n v="0"/>
    <n v="0"/>
    <m/>
    <m/>
  </r>
  <r>
    <x v="13"/>
    <s v="North Lake College (DCCCD)"/>
    <m/>
    <n v="227191"/>
    <x v="6"/>
    <n v="0"/>
    <n v="123876"/>
    <m/>
    <n v="39947"/>
    <m/>
    <n v="2483"/>
    <m/>
    <m/>
    <m/>
    <n v="81446"/>
    <n v="0"/>
    <n v="0"/>
    <m/>
    <m/>
    <n v="0"/>
    <n v="0"/>
    <m/>
    <n v="0"/>
    <m/>
    <n v="0"/>
    <m/>
    <m/>
    <m/>
    <n v="0"/>
    <n v="0"/>
    <n v="0"/>
    <m/>
    <m/>
  </r>
  <r>
    <x v="13"/>
    <s v="Northwest Vista College (ACCD)"/>
    <m/>
    <n v="420398"/>
    <x v="6"/>
    <n v="0"/>
    <n v="286134"/>
    <m/>
    <n v="153586"/>
    <m/>
    <n v="41752"/>
    <m/>
    <m/>
    <m/>
    <n v="90796"/>
    <n v="0"/>
    <n v="0"/>
    <m/>
    <m/>
    <n v="0"/>
    <n v="0"/>
    <m/>
    <n v="0"/>
    <m/>
    <n v="0"/>
    <m/>
    <m/>
    <m/>
    <n v="0"/>
    <n v="0"/>
    <n v="0"/>
    <m/>
    <m/>
  </r>
  <r>
    <x v="13"/>
    <s v="Palo Alto College (ACCD)"/>
    <m/>
    <n v="246354"/>
    <x v="6"/>
    <n v="0"/>
    <n v="163134"/>
    <m/>
    <n v="77970"/>
    <m/>
    <n v="10838"/>
    <m/>
    <m/>
    <m/>
    <n v="74326"/>
    <n v="0"/>
    <n v="0"/>
    <m/>
    <m/>
    <n v="0"/>
    <n v="0"/>
    <m/>
    <n v="0"/>
    <m/>
    <n v="0"/>
    <m/>
    <m/>
    <m/>
    <n v="0"/>
    <n v="0"/>
    <n v="0"/>
    <m/>
    <m/>
  </r>
  <r>
    <x v="13"/>
    <s v="Richland College (DCCCD)"/>
    <m/>
    <n v="227766"/>
    <x v="6"/>
    <n v="0"/>
    <n v="220780"/>
    <m/>
    <n v="79724"/>
    <m/>
    <n v="13223"/>
    <m/>
    <m/>
    <m/>
    <n v="127833"/>
    <n v="0"/>
    <n v="0"/>
    <m/>
    <m/>
    <n v="0"/>
    <n v="0"/>
    <m/>
    <n v="0"/>
    <m/>
    <n v="0"/>
    <m/>
    <m/>
    <m/>
    <n v="0"/>
    <n v="0"/>
    <n v="0"/>
    <m/>
    <m/>
  </r>
  <r>
    <x v="13"/>
    <s v="San Antonio College (ACCD)"/>
    <m/>
    <n v="227924"/>
    <x v="6"/>
    <n v="0"/>
    <n v="303452"/>
    <m/>
    <n v="160935"/>
    <m/>
    <n v="15653"/>
    <m/>
    <m/>
    <m/>
    <n v="126864"/>
    <n v="0"/>
    <n v="0"/>
    <m/>
    <m/>
    <n v="0"/>
    <n v="0"/>
    <m/>
    <n v="0"/>
    <m/>
    <n v="0"/>
    <m/>
    <m/>
    <m/>
    <n v="0"/>
    <n v="0"/>
    <n v="0"/>
    <m/>
    <m/>
  </r>
  <r>
    <x v="13"/>
    <s v="San Jacinto College"/>
    <m/>
    <n v="227979"/>
    <x v="6"/>
    <n v="0"/>
    <n v="589014"/>
    <m/>
    <n v="192338"/>
    <m/>
    <n v="7029"/>
    <m/>
    <m/>
    <m/>
    <n v="389623"/>
    <n v="24"/>
    <n v="0"/>
    <m/>
    <m/>
    <n v="0"/>
    <n v="0"/>
    <m/>
    <n v="0"/>
    <m/>
    <n v="0"/>
    <m/>
    <m/>
    <m/>
    <n v="0"/>
    <n v="0"/>
    <n v="0"/>
    <m/>
    <m/>
  </r>
  <r>
    <x v="13"/>
    <s v="South Plains College "/>
    <m/>
    <n v="228158"/>
    <x v="6"/>
    <n v="0"/>
    <n v="178439"/>
    <m/>
    <n v="51481"/>
    <m/>
    <n v="46399"/>
    <m/>
    <m/>
    <m/>
    <n v="78021"/>
    <n v="2538"/>
    <n v="0"/>
    <m/>
    <m/>
    <n v="0"/>
    <n v="0"/>
    <m/>
    <n v="0"/>
    <m/>
    <n v="0"/>
    <m/>
    <m/>
    <m/>
    <n v="0"/>
    <n v="0"/>
    <n v="0"/>
    <m/>
    <m/>
  </r>
  <r>
    <x v="13"/>
    <s v="St. Philip's College (ACCD)"/>
    <m/>
    <n v="227854"/>
    <x v="6"/>
    <n v="0"/>
    <n v="183846"/>
    <m/>
    <n v="81995"/>
    <m/>
    <n v="28339"/>
    <m/>
    <m/>
    <m/>
    <n v="73512"/>
    <n v="0"/>
    <n v="0"/>
    <m/>
    <m/>
    <n v="0"/>
    <n v="0"/>
    <m/>
    <n v="0"/>
    <m/>
    <n v="0"/>
    <m/>
    <m/>
    <m/>
    <n v="0"/>
    <n v="0"/>
    <n v="0"/>
    <m/>
    <m/>
  </r>
  <r>
    <x v="13"/>
    <s v="Tarrant County College"/>
    <m/>
    <n v="228547"/>
    <x v="6"/>
    <n v="0"/>
    <n v="892273"/>
    <m/>
    <n v="661403"/>
    <m/>
    <n v="37574"/>
    <m/>
    <m/>
    <m/>
    <n v="193296"/>
    <n v="0"/>
    <n v="0"/>
    <m/>
    <m/>
    <n v="0"/>
    <n v="0"/>
    <m/>
    <n v="0"/>
    <m/>
    <n v="0"/>
    <m/>
    <m/>
    <m/>
    <n v="0"/>
    <n v="0"/>
    <n v="0"/>
    <m/>
    <m/>
  </r>
  <r>
    <x v="13"/>
    <s v="Trinity Valley Community College"/>
    <m/>
    <n v="225308"/>
    <x v="6"/>
    <n v="0"/>
    <n v="119610"/>
    <m/>
    <n v="20933"/>
    <m/>
    <n v="12142"/>
    <m/>
    <m/>
    <m/>
    <n v="80902"/>
    <n v="5633"/>
    <n v="0"/>
    <m/>
    <m/>
    <n v="0"/>
    <n v="0"/>
    <m/>
    <n v="0"/>
    <m/>
    <n v="0"/>
    <m/>
    <m/>
    <m/>
    <n v="0"/>
    <n v="0"/>
    <n v="0"/>
    <m/>
    <m/>
  </r>
  <r>
    <x v="13"/>
    <s v="Tyler Junior College "/>
    <s v="Met the criteria for Two-Year with Bachelor's in 2018-19 and 2019-20. "/>
    <n v="229355"/>
    <x v="6"/>
    <n v="0"/>
    <n v="247920"/>
    <m/>
    <n v="104136"/>
    <m/>
    <n v="13223"/>
    <m/>
    <m/>
    <m/>
    <n v="130561"/>
    <n v="0"/>
    <n v="0"/>
    <m/>
    <m/>
    <n v="0"/>
    <n v="0"/>
    <m/>
    <n v="0"/>
    <m/>
    <n v="0"/>
    <m/>
    <m/>
    <m/>
    <n v="0"/>
    <n v="0"/>
    <n v="0"/>
    <m/>
    <m/>
  </r>
  <r>
    <x v="13"/>
    <s v="Alvin Community College "/>
    <m/>
    <n v="222567"/>
    <x v="7"/>
    <n v="0"/>
    <n v="101159"/>
    <m/>
    <n v="27836"/>
    <m/>
    <n v="19998"/>
    <m/>
    <m/>
    <m/>
    <n v="29107"/>
    <n v="24218"/>
    <n v="0"/>
    <m/>
    <m/>
    <n v="0"/>
    <n v="0"/>
    <m/>
    <n v="0"/>
    <m/>
    <n v="0"/>
    <m/>
    <m/>
    <m/>
    <n v="0"/>
    <n v="0"/>
    <n v="0"/>
    <m/>
    <m/>
  </r>
  <r>
    <x v="13"/>
    <s v="Angelina College "/>
    <m/>
    <n v="222822"/>
    <x v="7"/>
    <n v="0"/>
    <n v="77650"/>
    <m/>
    <n v="17455"/>
    <m/>
    <n v="6627"/>
    <m/>
    <m/>
    <m/>
    <n v="53480"/>
    <n v="70"/>
    <n v="18"/>
    <m/>
    <m/>
    <n v="0"/>
    <n v="0"/>
    <m/>
    <n v="0"/>
    <m/>
    <n v="0"/>
    <m/>
    <m/>
    <m/>
    <n v="0"/>
    <n v="0"/>
    <n v="0"/>
    <m/>
    <m/>
  </r>
  <r>
    <x v="13"/>
    <s v="Cedar Valley College (DCCCD)"/>
    <m/>
    <n v="223773"/>
    <x v="7"/>
    <n v="0"/>
    <n v="95881"/>
    <m/>
    <n v="22988"/>
    <m/>
    <n v="7267"/>
    <m/>
    <m/>
    <m/>
    <n v="65626"/>
    <n v="0"/>
    <n v="0"/>
    <m/>
    <m/>
    <n v="0"/>
    <n v="0"/>
    <m/>
    <n v="0"/>
    <m/>
    <n v="0"/>
    <m/>
    <m/>
    <m/>
    <n v="0"/>
    <n v="0"/>
    <n v="0"/>
    <m/>
    <m/>
  </r>
  <r>
    <x v="13"/>
    <s v="Cisco Junior College "/>
    <m/>
    <n v="223898"/>
    <x v="7"/>
    <n v="0"/>
    <n v="66147"/>
    <m/>
    <n v="792"/>
    <m/>
    <n v="1784"/>
    <m/>
    <m/>
    <m/>
    <n v="63487"/>
    <n v="84"/>
    <n v="0"/>
    <m/>
    <m/>
    <n v="0"/>
    <n v="0"/>
    <m/>
    <n v="0"/>
    <m/>
    <n v="0"/>
    <m/>
    <m/>
    <m/>
    <n v="0"/>
    <n v="0"/>
    <n v="0"/>
    <m/>
    <m/>
  </r>
  <r>
    <x v="13"/>
    <s v="Coastal Bend College"/>
    <m/>
    <n v="223320"/>
    <x v="7"/>
    <n v="0"/>
    <n v="76389"/>
    <m/>
    <n v="6750"/>
    <m/>
    <n v="15128"/>
    <m/>
    <m/>
    <m/>
    <n v="51377"/>
    <n v="2813"/>
    <n v="321"/>
    <m/>
    <m/>
    <n v="0"/>
    <n v="0"/>
    <m/>
    <n v="0"/>
    <m/>
    <n v="0"/>
    <m/>
    <m/>
    <m/>
    <n v="0"/>
    <n v="0"/>
    <n v="0"/>
    <m/>
    <m/>
  </r>
  <r>
    <x v="13"/>
    <s v="College of the Mainland"/>
    <m/>
    <n v="226408"/>
    <x v="7"/>
    <n v="0"/>
    <n v="85885"/>
    <m/>
    <n v="50038"/>
    <m/>
    <n v="3140"/>
    <m/>
    <m/>
    <m/>
    <n v="32707"/>
    <n v="0"/>
    <n v="0"/>
    <m/>
    <m/>
    <n v="0"/>
    <n v="0"/>
    <m/>
    <n v="0"/>
    <m/>
    <n v="0"/>
    <m/>
    <m/>
    <m/>
    <n v="0"/>
    <n v="0"/>
    <n v="0"/>
    <m/>
    <m/>
  </r>
  <r>
    <x v="13"/>
    <s v="Grayson County College "/>
    <m/>
    <n v="225070"/>
    <x v="7"/>
    <n v="0"/>
    <n v="76820"/>
    <m/>
    <n v="25184"/>
    <m/>
    <n v="0"/>
    <m/>
    <m/>
    <m/>
    <n v="51126"/>
    <n v="366"/>
    <n v="144"/>
    <m/>
    <m/>
    <n v="0"/>
    <n v="0"/>
    <m/>
    <n v="0"/>
    <m/>
    <n v="0"/>
    <m/>
    <m/>
    <m/>
    <n v="0"/>
    <n v="0"/>
    <n v="0"/>
    <m/>
    <m/>
  </r>
  <r>
    <x v="13"/>
    <s v="Hill College"/>
    <m/>
    <n v="225371"/>
    <x v="7"/>
    <n v="0"/>
    <n v="81875"/>
    <m/>
    <n v="12834"/>
    <m/>
    <n v="22198"/>
    <m/>
    <m/>
    <m/>
    <n v="46402"/>
    <n v="441"/>
    <n v="0"/>
    <m/>
    <m/>
    <n v="0"/>
    <n v="0"/>
    <m/>
    <n v="0"/>
    <m/>
    <n v="0"/>
    <m/>
    <m/>
    <m/>
    <n v="0"/>
    <n v="0"/>
    <n v="0"/>
    <m/>
    <m/>
  </r>
  <r>
    <x v="13"/>
    <s v="Howard College (HCJCD)"/>
    <m/>
    <n v="225520"/>
    <x v="7"/>
    <n v="0"/>
    <n v="59738"/>
    <m/>
    <n v="2345"/>
    <m/>
    <n v="11837"/>
    <m/>
    <m/>
    <m/>
    <n v="44800"/>
    <n v="756"/>
    <n v="0"/>
    <m/>
    <m/>
    <n v="0"/>
    <n v="0"/>
    <m/>
    <n v="0"/>
    <m/>
    <n v="0"/>
    <m/>
    <m/>
    <m/>
    <n v="0"/>
    <n v="0"/>
    <n v="0"/>
    <m/>
    <m/>
  </r>
  <r>
    <x v="13"/>
    <s v="Kilgore College "/>
    <m/>
    <n v="226019"/>
    <x v="7"/>
    <n v="0"/>
    <n v="120776"/>
    <m/>
    <n v="37493"/>
    <m/>
    <n v="26883"/>
    <m/>
    <m/>
    <m/>
    <n v="56400"/>
    <n v="0"/>
    <n v="0"/>
    <m/>
    <m/>
    <n v="0"/>
    <n v="0"/>
    <m/>
    <n v="0"/>
    <m/>
    <n v="0"/>
    <m/>
    <m/>
    <m/>
    <n v="0"/>
    <n v="0"/>
    <n v="0"/>
    <m/>
    <m/>
  </r>
  <r>
    <x v="13"/>
    <s v="Lamar Institute of Technology"/>
    <m/>
    <n v="441760"/>
    <x v="7"/>
    <n v="0"/>
    <n v="77358"/>
    <m/>
    <n v="39512"/>
    <m/>
    <n v="7089"/>
    <m/>
    <m/>
    <m/>
    <n v="30727"/>
    <n v="30"/>
    <n v="0"/>
    <m/>
    <m/>
    <n v="0"/>
    <n v="0"/>
    <m/>
    <n v="0"/>
    <m/>
    <n v="0"/>
    <m/>
    <m/>
    <m/>
    <n v="0"/>
    <n v="0"/>
    <n v="0"/>
    <m/>
    <m/>
  </r>
  <r>
    <x v="13"/>
    <s v="Lee College "/>
    <m/>
    <n v="226204"/>
    <x v="7"/>
    <n v="0"/>
    <n v="130215"/>
    <m/>
    <n v="31383"/>
    <m/>
    <n v="30578"/>
    <m/>
    <m/>
    <m/>
    <n v="68254"/>
    <n v="0"/>
    <n v="0"/>
    <m/>
    <m/>
    <n v="0"/>
    <n v="0"/>
    <m/>
    <n v="0"/>
    <m/>
    <n v="0"/>
    <m/>
    <m/>
    <m/>
    <n v="0"/>
    <n v="0"/>
    <n v="0"/>
    <m/>
    <m/>
  </r>
  <r>
    <x v="13"/>
    <s v="Northeast Texas Community College "/>
    <s v="Met the requirments for  Two-year 3 in 2020-21"/>
    <n v="227225"/>
    <x v="7"/>
    <n v="0"/>
    <n v="58522"/>
    <m/>
    <n v="15087"/>
    <m/>
    <n v="3657"/>
    <m/>
    <m/>
    <m/>
    <n v="39778"/>
    <n v="0"/>
    <n v="0"/>
    <m/>
    <m/>
    <n v="0"/>
    <n v="0"/>
    <m/>
    <n v="0"/>
    <m/>
    <n v="0"/>
    <m/>
    <m/>
    <m/>
    <n v="0"/>
    <n v="0"/>
    <n v="0"/>
    <m/>
    <m/>
  </r>
  <r>
    <x v="13"/>
    <s v="Odessa College "/>
    <m/>
    <n v="227304"/>
    <x v="7"/>
    <n v="0"/>
    <n v="128094"/>
    <m/>
    <n v="47960"/>
    <m/>
    <n v="11892"/>
    <m/>
    <m/>
    <m/>
    <n v="68242"/>
    <n v="0"/>
    <n v="0"/>
    <m/>
    <m/>
    <n v="0"/>
    <n v="0"/>
    <m/>
    <n v="0"/>
    <m/>
    <n v="0"/>
    <m/>
    <m/>
    <m/>
    <n v="0"/>
    <n v="0"/>
    <n v="0"/>
    <m/>
    <m/>
  </r>
  <r>
    <x v="13"/>
    <s v="Paris Junior College"/>
    <m/>
    <n v="227401"/>
    <x v="7"/>
    <n v="0"/>
    <n v="88913"/>
    <m/>
    <n v="27875"/>
    <m/>
    <n v="10861"/>
    <m/>
    <m/>
    <m/>
    <n v="47453"/>
    <n v="2724"/>
    <n v="0"/>
    <m/>
    <m/>
    <n v="0"/>
    <n v="0"/>
    <m/>
    <n v="0"/>
    <m/>
    <n v="0"/>
    <m/>
    <m/>
    <m/>
    <n v="0"/>
    <n v="0"/>
    <n v="0"/>
    <m/>
    <m/>
  </r>
  <r>
    <x v="13"/>
    <s v="Southwest Texas Junior College "/>
    <m/>
    <n v="228316"/>
    <x v="7"/>
    <n v="0"/>
    <n v="121546"/>
    <m/>
    <n v="12406"/>
    <m/>
    <n v="46543"/>
    <m/>
    <m/>
    <m/>
    <n v="27752"/>
    <n v="34845"/>
    <n v="0"/>
    <m/>
    <m/>
    <n v="0"/>
    <n v="0"/>
    <m/>
    <n v="0"/>
    <m/>
    <n v="0"/>
    <m/>
    <m/>
    <m/>
    <n v="0"/>
    <n v="0"/>
    <n v="0"/>
    <m/>
    <m/>
  </r>
  <r>
    <x v="13"/>
    <s v="Temple College "/>
    <m/>
    <n v="228608"/>
    <x v="7"/>
    <n v="0"/>
    <n v="85093"/>
    <m/>
    <n v="30319"/>
    <m/>
    <n v="7820"/>
    <m/>
    <m/>
    <m/>
    <n v="46954"/>
    <n v="0"/>
    <n v="0"/>
    <m/>
    <m/>
    <n v="0"/>
    <n v="0"/>
    <m/>
    <n v="0"/>
    <m/>
    <n v="0"/>
    <m/>
    <m/>
    <m/>
    <n v="0"/>
    <n v="0"/>
    <n v="0"/>
    <m/>
    <m/>
  </r>
  <r>
    <x v="13"/>
    <s v="Texarkana College "/>
    <m/>
    <n v="228699"/>
    <x v="7"/>
    <n v="0"/>
    <n v="71649"/>
    <m/>
    <n v="19490"/>
    <m/>
    <n v="4951"/>
    <m/>
    <m/>
    <m/>
    <n v="47169"/>
    <n v="0"/>
    <n v="39"/>
    <m/>
    <m/>
    <n v="0"/>
    <n v="0"/>
    <m/>
    <n v="0"/>
    <m/>
    <n v="0"/>
    <m/>
    <m/>
    <m/>
    <n v="0"/>
    <n v="0"/>
    <n v="0"/>
    <m/>
    <m/>
  </r>
  <r>
    <x v="13"/>
    <s v="Texas Southmost College "/>
    <s v="Changed IPEDS # from 229072"/>
    <n v="227377"/>
    <x v="7"/>
    <n v="0"/>
    <n v="144896"/>
    <m/>
    <n v="37270"/>
    <m/>
    <n v="24982"/>
    <m/>
    <m/>
    <m/>
    <n v="82644"/>
    <n v="0"/>
    <n v="0"/>
    <m/>
    <m/>
    <n v="0"/>
    <n v="0"/>
    <m/>
    <n v="0"/>
    <m/>
    <n v="0"/>
    <m/>
    <m/>
    <m/>
    <n v="0"/>
    <n v="0"/>
    <n v="0"/>
    <m/>
    <m/>
  </r>
  <r>
    <x v="13"/>
    <s v="Texas State Technical College-Harlingen "/>
    <m/>
    <n v="229319"/>
    <x v="7"/>
    <n v="0"/>
    <n v="80431"/>
    <m/>
    <n v="1776"/>
    <m/>
    <n v="1339"/>
    <m/>
    <m/>
    <m/>
    <n v="75270"/>
    <n v="0"/>
    <n v="2046"/>
    <m/>
    <m/>
    <n v="0"/>
    <n v="0"/>
    <m/>
    <n v="0"/>
    <m/>
    <n v="0"/>
    <m/>
    <m/>
    <m/>
    <n v="0"/>
    <n v="0"/>
    <n v="0"/>
    <m/>
    <m/>
  </r>
  <r>
    <x v="13"/>
    <s v="Texas State Technical College-Waco"/>
    <m/>
    <n v="228680"/>
    <x v="7"/>
    <n v="0"/>
    <n v="88872"/>
    <m/>
    <n v="3185"/>
    <m/>
    <n v="977"/>
    <m/>
    <m/>
    <m/>
    <n v="81911"/>
    <n v="0"/>
    <n v="2799"/>
    <m/>
    <m/>
    <n v="0"/>
    <n v="0"/>
    <m/>
    <n v="0"/>
    <m/>
    <n v="0"/>
    <m/>
    <m/>
    <m/>
    <n v="0"/>
    <n v="0"/>
    <n v="0"/>
    <m/>
    <m/>
  </r>
  <r>
    <x v="13"/>
    <s v="Vernon College "/>
    <s v="Met the requirments for  Two-year 3 in 2020-21"/>
    <n v="229504"/>
    <x v="7"/>
    <n v="0"/>
    <n v="53493"/>
    <m/>
    <n v="7083"/>
    <m/>
    <n v="25906"/>
    <m/>
    <m/>
    <m/>
    <n v="18529"/>
    <n v="1975"/>
    <n v="0"/>
    <m/>
    <m/>
    <n v="0"/>
    <n v="0"/>
    <m/>
    <n v="0"/>
    <m/>
    <n v="0"/>
    <m/>
    <m/>
    <m/>
    <n v="0"/>
    <n v="0"/>
    <n v="0"/>
    <m/>
    <m/>
  </r>
  <r>
    <x v="13"/>
    <s v="Victoria College "/>
    <m/>
    <n v="229540"/>
    <x v="7"/>
    <n v="0"/>
    <n v="57116"/>
    <m/>
    <n v="19347"/>
    <m/>
    <n v="1725"/>
    <m/>
    <m/>
    <m/>
    <n v="28354"/>
    <n v="7690"/>
    <n v="0"/>
    <m/>
    <m/>
    <n v="0"/>
    <n v="0"/>
    <m/>
    <n v="0"/>
    <m/>
    <n v="0"/>
    <m/>
    <m/>
    <m/>
    <n v="0"/>
    <n v="0"/>
    <n v="0"/>
    <m/>
    <m/>
  </r>
  <r>
    <x v="13"/>
    <s v="Weatherford College "/>
    <m/>
    <n v="229799"/>
    <x v="7"/>
    <n v="0"/>
    <n v="104886"/>
    <m/>
    <n v="40780"/>
    <m/>
    <n v="16034"/>
    <m/>
    <m/>
    <m/>
    <n v="48033"/>
    <n v="39"/>
    <n v="0"/>
    <m/>
    <m/>
    <n v="0"/>
    <n v="0"/>
    <m/>
    <n v="0"/>
    <m/>
    <n v="0"/>
    <m/>
    <m/>
    <m/>
    <n v="0"/>
    <n v="0"/>
    <n v="0"/>
    <m/>
    <m/>
  </r>
  <r>
    <x v="13"/>
    <s v="Wharton County Junior College "/>
    <m/>
    <n v="229841"/>
    <x v="7"/>
    <n v="0"/>
    <n v="133573"/>
    <m/>
    <n v="19374"/>
    <m/>
    <n v="38638"/>
    <m/>
    <m/>
    <m/>
    <n v="74697"/>
    <n v="864"/>
    <n v="0"/>
    <m/>
    <m/>
    <n v="0"/>
    <n v="0"/>
    <m/>
    <n v="0"/>
    <m/>
    <n v="0"/>
    <m/>
    <m/>
    <m/>
    <n v="0"/>
    <n v="0"/>
    <n v="0"/>
    <m/>
    <m/>
  </r>
  <r>
    <x v="13"/>
    <s v="Clarendon College "/>
    <m/>
    <n v="223922"/>
    <x v="8"/>
    <n v="0"/>
    <n v="29010"/>
    <m/>
    <n v="7801"/>
    <m/>
    <n v="7308"/>
    <m/>
    <m/>
    <m/>
    <n v="13764"/>
    <n v="137"/>
    <n v="0"/>
    <m/>
    <m/>
    <n v="0"/>
    <n v="0"/>
    <m/>
    <n v="0"/>
    <m/>
    <n v="0"/>
    <m/>
    <m/>
    <m/>
    <n v="0"/>
    <n v="0"/>
    <n v="0"/>
    <m/>
    <m/>
  </r>
  <r>
    <x v="13"/>
    <s v="Frank Phillips College "/>
    <m/>
    <n v="224891"/>
    <x v="8"/>
    <n v="0"/>
    <n v="28407"/>
    <m/>
    <n v="12824"/>
    <m/>
    <n v="2795"/>
    <m/>
    <m/>
    <m/>
    <n v="11241"/>
    <n v="512"/>
    <n v="1035"/>
    <m/>
    <m/>
    <n v="0"/>
    <n v="0"/>
    <m/>
    <n v="0"/>
    <m/>
    <n v="0"/>
    <m/>
    <m/>
    <m/>
    <n v="0"/>
    <n v="0"/>
    <n v="0"/>
    <m/>
    <m/>
  </r>
  <r>
    <x v="13"/>
    <s v="Galveston College "/>
    <m/>
    <n v="224961"/>
    <x v="8"/>
    <n v="0"/>
    <n v="44725"/>
    <m/>
    <n v="17154"/>
    <m/>
    <n v="66"/>
    <m/>
    <m/>
    <m/>
    <n v="27505"/>
    <n v="0"/>
    <n v="0"/>
    <m/>
    <m/>
    <n v="0"/>
    <n v="0"/>
    <m/>
    <n v="0"/>
    <m/>
    <n v="0"/>
    <m/>
    <m/>
    <m/>
    <n v="0"/>
    <n v="0"/>
    <n v="0"/>
    <m/>
    <m/>
  </r>
  <r>
    <x v="13"/>
    <s v="Lamar State College-Orange"/>
    <m/>
    <n v="226107"/>
    <x v="8"/>
    <n v="0"/>
    <n v="48327"/>
    <m/>
    <n v="17520"/>
    <m/>
    <n v="2349"/>
    <m/>
    <m/>
    <m/>
    <n v="28458"/>
    <n v="0"/>
    <n v="0"/>
    <m/>
    <m/>
    <n v="0"/>
    <n v="0"/>
    <m/>
    <n v="0"/>
    <m/>
    <n v="0"/>
    <m/>
    <m/>
    <m/>
    <n v="0"/>
    <n v="0"/>
    <n v="0"/>
    <m/>
    <m/>
  </r>
  <r>
    <x v="13"/>
    <s v="Lamar State College-Port Arthur"/>
    <s v="Met the criteria for Two-Year 2 in 2019-20."/>
    <n v="226116"/>
    <x v="8"/>
    <n v="0"/>
    <n v="54149"/>
    <m/>
    <n v="19743"/>
    <m/>
    <n v="6412"/>
    <m/>
    <m/>
    <m/>
    <n v="27994"/>
    <n v="0"/>
    <n v="0"/>
    <m/>
    <m/>
    <n v="0"/>
    <n v="0"/>
    <m/>
    <n v="0"/>
    <m/>
    <n v="0"/>
    <m/>
    <m/>
    <m/>
    <n v="0"/>
    <n v="0"/>
    <n v="0"/>
    <m/>
    <m/>
  </r>
  <r>
    <x v="13"/>
    <s v="Northeast Lakeview College (ACCD)"/>
    <s v="Reclassifed Met the criteria for Two-Year 2 in 2018-19 and 2019-20 and 2020-21"/>
    <n v="488730"/>
    <x v="7"/>
    <n v="0"/>
    <n v="102345"/>
    <m/>
    <n v="68266"/>
    <m/>
    <n v="1161"/>
    <m/>
    <m/>
    <m/>
    <n v="32918"/>
    <n v="0"/>
    <n v="0"/>
    <m/>
    <m/>
    <n v="0"/>
    <n v="0"/>
    <m/>
    <n v="0"/>
    <m/>
    <n v="0"/>
    <m/>
    <m/>
    <m/>
    <n v="0"/>
    <n v="0"/>
    <n v="0"/>
    <m/>
    <m/>
  </r>
  <r>
    <x v="13"/>
    <s v="Panola College"/>
    <m/>
    <n v="227386"/>
    <x v="8"/>
    <n v="0"/>
    <n v="48742"/>
    <m/>
    <n v="15598"/>
    <m/>
    <n v="6660"/>
    <m/>
    <m/>
    <m/>
    <n v="26346"/>
    <n v="138"/>
    <n v="0"/>
    <m/>
    <m/>
    <n v="0"/>
    <n v="0"/>
    <m/>
    <n v="0"/>
    <m/>
    <n v="0"/>
    <m/>
    <m/>
    <m/>
    <n v="0"/>
    <n v="0"/>
    <n v="0"/>
    <m/>
    <m/>
  </r>
  <r>
    <x v="13"/>
    <s v="Ranger College "/>
    <m/>
    <n v="227687"/>
    <x v="8"/>
    <n v="0"/>
    <n v="44838"/>
    <m/>
    <n v="8671"/>
    <m/>
    <n v="17220"/>
    <m/>
    <m/>
    <m/>
    <n v="17837"/>
    <n v="1110"/>
    <n v="0"/>
    <m/>
    <m/>
    <n v="0"/>
    <n v="0"/>
    <m/>
    <n v="0"/>
    <m/>
    <n v="0"/>
    <m/>
    <m/>
    <m/>
    <n v="0"/>
    <n v="0"/>
    <n v="0"/>
    <m/>
    <m/>
  </r>
  <r>
    <x v="13"/>
    <s v="Southwest Collegiate Institute for the Deaf (HCJCD)"/>
    <m/>
    <n v="382911"/>
    <x v="8"/>
    <n v="0"/>
    <n v="1096"/>
    <m/>
    <n v="767"/>
    <m/>
    <n v="60"/>
    <m/>
    <m/>
    <m/>
    <n v="18"/>
    <n v="251"/>
    <n v="0"/>
    <m/>
    <m/>
    <n v="0"/>
    <n v="0"/>
    <m/>
    <n v="0"/>
    <m/>
    <n v="0"/>
    <m/>
    <m/>
    <m/>
    <n v="0"/>
    <n v="0"/>
    <n v="0"/>
    <m/>
    <m/>
  </r>
  <r>
    <x v="13"/>
    <s v="Texas State Technical College-Fort Bend"/>
    <m/>
    <s v="N/A"/>
    <x v="8"/>
    <n v="0"/>
    <n v="12482"/>
    <m/>
    <n v="178"/>
    <m/>
    <n v="80"/>
    <m/>
    <m/>
    <m/>
    <n v="11538"/>
    <n v="0"/>
    <n v="686"/>
    <m/>
    <m/>
    <n v="0"/>
    <n v="0"/>
    <m/>
    <n v="0"/>
    <m/>
    <n v="0"/>
    <m/>
    <m/>
    <m/>
    <n v="0"/>
    <n v="0"/>
    <n v="0"/>
    <m/>
    <m/>
  </r>
  <r>
    <x v="13"/>
    <s v="Texas State Technical College-Marshall"/>
    <m/>
    <n v="408394"/>
    <x v="8"/>
    <n v="0"/>
    <n v="13125"/>
    <m/>
    <n v="315"/>
    <m/>
    <n v="159"/>
    <m/>
    <m/>
    <m/>
    <n v="11468"/>
    <n v="0"/>
    <n v="1183"/>
    <m/>
    <m/>
    <n v="0"/>
    <n v="0"/>
    <m/>
    <n v="0"/>
    <m/>
    <n v="0"/>
    <m/>
    <m/>
    <m/>
    <n v="0"/>
    <n v="0"/>
    <n v="0"/>
    <m/>
    <m/>
  </r>
  <r>
    <x v="13"/>
    <s v="Texas State Technical College-North Texas"/>
    <m/>
    <s v="N/A"/>
    <x v="8"/>
    <n v="0"/>
    <n v="5856"/>
    <m/>
    <n v="0"/>
    <m/>
    <n v="207"/>
    <m/>
    <m/>
    <m/>
    <n v="5388"/>
    <n v="0"/>
    <n v="261"/>
    <m/>
    <m/>
    <n v="0"/>
    <n v="0"/>
    <m/>
    <n v="0"/>
    <m/>
    <n v="0"/>
    <m/>
    <m/>
    <m/>
    <n v="0"/>
    <n v="0"/>
    <n v="0"/>
    <m/>
    <m/>
  </r>
  <r>
    <x v="13"/>
    <s v="Texas State Technical College-West Texas"/>
    <m/>
    <n v="229328"/>
    <x v="8"/>
    <n v="0"/>
    <n v="32847"/>
    <m/>
    <n v="1424"/>
    <m/>
    <n v="2727"/>
    <m/>
    <m/>
    <m/>
    <n v="27548"/>
    <n v="0"/>
    <n v="1148"/>
    <m/>
    <m/>
    <n v="0"/>
    <n v="0"/>
    <m/>
    <n v="0"/>
    <m/>
    <n v="0"/>
    <m/>
    <m/>
    <m/>
    <n v="0"/>
    <n v="0"/>
    <n v="0"/>
    <m/>
    <m/>
  </r>
  <r>
    <x v="13"/>
    <s v="Western Texas College "/>
    <m/>
    <n v="229832"/>
    <x v="8"/>
    <n v="0"/>
    <n v="35425"/>
    <m/>
    <n v="10949"/>
    <m/>
    <n v="3089"/>
    <m/>
    <m/>
    <m/>
    <n v="20364"/>
    <n v="1023"/>
    <n v="0"/>
    <m/>
    <m/>
    <n v="0"/>
    <n v="0"/>
    <m/>
    <n v="0"/>
    <m/>
    <n v="0"/>
    <m/>
    <m/>
    <m/>
    <n v="0"/>
    <n v="0"/>
    <n v="0"/>
    <m/>
    <m/>
  </r>
  <r>
    <x v="13"/>
    <s v="University of North Texas at Dallas"/>
    <m/>
    <n v="484905"/>
    <x v="3"/>
    <n v="0"/>
    <n v="79775"/>
    <m/>
    <n v="38350"/>
    <m/>
    <n v="0"/>
    <m/>
    <m/>
    <m/>
    <n v="41181"/>
    <n v="0"/>
    <n v="244"/>
    <m/>
    <m/>
    <n v="0"/>
    <n v="17267"/>
    <m/>
    <n v="6844"/>
    <m/>
    <n v="4976"/>
    <m/>
    <m/>
    <m/>
    <n v="5447"/>
    <n v="0"/>
    <n v="0"/>
    <m/>
    <m/>
  </r>
  <r>
    <x v="13"/>
    <s v="Dallas College"/>
    <s v="Name change ( Dallas County Community College)"/>
    <n v="224615"/>
    <x v="8"/>
    <n v="0"/>
    <n v="380470"/>
    <m/>
    <n v="2765"/>
    <m/>
    <n v="675"/>
    <m/>
    <m/>
    <m/>
    <n v="377024"/>
    <n v="0"/>
    <n v="6"/>
    <m/>
    <m/>
    <n v="0"/>
    <n v="0"/>
    <m/>
    <n v="0"/>
    <m/>
    <n v="0"/>
    <m/>
    <m/>
    <m/>
    <n v="0"/>
    <n v="0"/>
    <n v="0"/>
    <m/>
    <m/>
  </r>
  <r>
    <x v="14"/>
    <s v="George Mason University "/>
    <m/>
    <n v="232186"/>
    <x v="0"/>
    <n v="746601.5"/>
    <n v="759225.5"/>
    <n v="623229.5"/>
    <n v="330381.5"/>
    <n v="18049"/>
    <n v="18097"/>
    <n v="101225"/>
    <n v="4098"/>
    <n v="0"/>
    <n v="404189"/>
    <n v="6558"/>
    <n v="0"/>
    <m/>
    <m/>
    <n v="170295"/>
    <n v="173111.5"/>
    <n v="121582"/>
    <n v="74645.5"/>
    <n v="12409.5"/>
    <n v="8649"/>
    <n v="30324.5"/>
    <n v="5979"/>
    <n v="0"/>
    <n v="87061.5"/>
    <n v="2755.5"/>
    <n v="0"/>
    <m/>
    <m/>
  </r>
  <r>
    <x v="14"/>
    <s v="Old Dominion University "/>
    <m/>
    <n v="232982"/>
    <x v="0"/>
    <n v="500907"/>
    <n v="510637"/>
    <n v="344197"/>
    <n v="193340"/>
    <n v="232"/>
    <n v="5068"/>
    <n v="137658"/>
    <n v="18770"/>
    <n v="50"/>
    <n v="219655"/>
    <n v="92569"/>
    <n v="5"/>
    <m/>
    <m/>
    <n v="66439"/>
    <n v="68263"/>
    <n v="31487"/>
    <n v="23166"/>
    <n v="216"/>
    <n v="570"/>
    <n v="22309"/>
    <n v="10566"/>
    <n v="1861"/>
    <n v="27193"/>
    <n v="15455"/>
    <n v="1879"/>
    <m/>
    <m/>
  </r>
  <r>
    <x v="14"/>
    <s v="University of Virginia"/>
    <m/>
    <n v="234076"/>
    <x v="0"/>
    <n v="507366.5"/>
    <n v="502424"/>
    <n v="476247"/>
    <n v="256936.5"/>
    <n v="19753.5"/>
    <n v="6017.5"/>
    <n v="10734"/>
    <n v="632"/>
    <n v="0"/>
    <n v="40621.5"/>
    <n v="198848.5"/>
    <n v="0"/>
    <m/>
    <m/>
    <n v="199952"/>
    <n v="200911.5"/>
    <n v="172774"/>
    <n v="127664"/>
    <n v="12878.5"/>
    <n v="5723.5"/>
    <n v="11539"/>
    <n v="2760.5"/>
    <n v="0"/>
    <n v="20953"/>
    <n v="46571"/>
    <n v="0"/>
    <m/>
    <m/>
  </r>
  <r>
    <x v="14"/>
    <s v="Virginia Commonwealth University"/>
    <m/>
    <n v="234030"/>
    <x v="0"/>
    <n v="631886"/>
    <n v="623201.5"/>
    <n v="556033"/>
    <n v="290369"/>
    <n v="7692"/>
    <n v="4865"/>
    <n v="67344"/>
    <n v="817"/>
    <n v="0"/>
    <n v="173474"/>
    <n v="154493.5"/>
    <n v="0"/>
    <m/>
    <m/>
    <n v="132305"/>
    <n v="134150"/>
    <n v="112489"/>
    <n v="82179"/>
    <n v="3343"/>
    <n v="2967"/>
    <n v="16071"/>
    <n v="402"/>
    <n v="0"/>
    <n v="21677"/>
    <n v="27327"/>
    <n v="0"/>
    <m/>
    <m/>
  </r>
  <r>
    <x v="14"/>
    <s v="Virginia Tech "/>
    <m/>
    <n v="233921"/>
    <x v="0"/>
    <n v="888575"/>
    <n v="922288"/>
    <n v="861814"/>
    <n v="750028"/>
    <n v="184"/>
    <n v="53"/>
    <n v="25306"/>
    <n v="1271"/>
    <n v="0"/>
    <n v="78890"/>
    <n v="93317"/>
    <n v="0"/>
    <m/>
    <m/>
    <n v="145332"/>
    <n v="143731"/>
    <n v="108192"/>
    <n v="102218"/>
    <n v="18389"/>
    <n v="12753"/>
    <n v="12734"/>
    <n v="6017"/>
    <n v="0"/>
    <n v="18029"/>
    <n v="10731"/>
    <n v="0"/>
    <m/>
    <m/>
  </r>
  <r>
    <x v="14"/>
    <s v="College of William &amp; Mary"/>
    <m/>
    <n v="231624"/>
    <x v="1"/>
    <n v="184143.5"/>
    <n v="182600.3"/>
    <n v="177776.5"/>
    <n v="99756.5"/>
    <n v="5239"/>
    <n v="4038.3"/>
    <n v="1128"/>
    <n v="0"/>
    <n v="0"/>
    <n v="62603"/>
    <n v="16202.5"/>
    <n v="0"/>
    <m/>
    <m/>
    <n v="59874"/>
    <n v="62133.5"/>
    <n v="45856.5"/>
    <n v="28399"/>
    <n v="4544"/>
    <n v="3452.5"/>
    <n v="9473.5"/>
    <n v="0"/>
    <n v="0"/>
    <n v="25868.5"/>
    <n v="4413.5"/>
    <n v="0"/>
    <m/>
    <m/>
  </r>
  <r>
    <x v="14"/>
    <s v="James Madison University"/>
    <m/>
    <n v="232423"/>
    <x v="2"/>
    <n v="591489"/>
    <n v="589265"/>
    <n v="546836"/>
    <n v="296761"/>
    <n v="11744"/>
    <n v="8845"/>
    <n v="32909"/>
    <n v="0"/>
    <n v="0"/>
    <n v="283659"/>
    <n v="0"/>
    <n v="0"/>
    <m/>
    <m/>
    <n v="35661"/>
    <n v="35561"/>
    <n v="24609"/>
    <n v="18205"/>
    <n v="2730"/>
    <n v="2357"/>
    <n v="8322"/>
    <n v="0"/>
    <n v="0"/>
    <n v="14999"/>
    <n v="0"/>
    <n v="0"/>
    <m/>
    <m/>
  </r>
  <r>
    <x v="14"/>
    <s v="Longwood University "/>
    <s v="Reclassified: Met the criteria for Four-Year 5 in 2018-19, 2019-20, and 2020-21."/>
    <n v="232566"/>
    <x v="4"/>
    <n v="115258"/>
    <n v="109575"/>
    <n v="103717"/>
    <n v="81487"/>
    <n v="1149"/>
    <n v="704"/>
    <n v="10392"/>
    <n v="0"/>
    <n v="0"/>
    <n v="24846"/>
    <n v="2538"/>
    <n v="0"/>
    <m/>
    <m/>
    <n v="11102"/>
    <n v="14553"/>
    <n v="3038"/>
    <n v="1589"/>
    <n v="2920"/>
    <n v="795"/>
    <n v="5036"/>
    <n v="108"/>
    <n v="0"/>
    <n v="12169"/>
    <n v="0"/>
    <n v="0"/>
    <m/>
    <m/>
  </r>
  <r>
    <x v="14"/>
    <s v="Norfolk State University "/>
    <s v="Reclassified: Met the criteria for Four-Year 4 in 2018-19, 2019-20, and 2020-21."/>
    <n v="232937"/>
    <x v="3"/>
    <n v="137498"/>
    <n v="136802"/>
    <n v="105274"/>
    <n v="93223"/>
    <n v="207"/>
    <n v="80"/>
    <n v="32017"/>
    <n v="0"/>
    <n v="0"/>
    <n v="43499"/>
    <n v="0"/>
    <n v="0"/>
    <m/>
    <m/>
    <n v="9544"/>
    <n v="8473"/>
    <n v="7423"/>
    <n v="6106"/>
    <n v="9"/>
    <n v="0"/>
    <n v="2112"/>
    <n v="0"/>
    <n v="0"/>
    <n v="2367"/>
    <n v="0"/>
    <n v="0"/>
    <m/>
    <m/>
  </r>
  <r>
    <x v="14"/>
    <s v="Radford University"/>
    <m/>
    <n v="233277"/>
    <x v="2"/>
    <n v="232688.7"/>
    <n v="219564"/>
    <n v="190703"/>
    <n v="130018"/>
    <n v="10738.7"/>
    <n v="14187"/>
    <n v="30619"/>
    <n v="628"/>
    <n v="0"/>
    <n v="70615"/>
    <n v="4744"/>
    <n v="0"/>
    <m/>
    <m/>
    <n v="30177"/>
    <n v="40716"/>
    <n v="10267"/>
    <n v="7111"/>
    <n v="6989"/>
    <n v="7869"/>
    <n v="10552"/>
    <n v="2369"/>
    <n v="0"/>
    <n v="25459"/>
    <n v="277"/>
    <n v="0"/>
    <m/>
    <m/>
  </r>
  <r>
    <x v="14"/>
    <s v="University of Mary Washington "/>
    <s v="Reclassified: Met the criteria for Four-Year 5 in 2018-19, 2019-20, and 2020-21."/>
    <n v="232681"/>
    <x v="4"/>
    <n v="117503.2"/>
    <n v="115162"/>
    <n v="108363"/>
    <n v="55643"/>
    <n v="0"/>
    <n v="0"/>
    <n v="9128.2000000000007"/>
    <n v="12"/>
    <n v="0"/>
    <n v="16992"/>
    <n v="42527"/>
    <n v="0"/>
    <m/>
    <m/>
    <n v="5153"/>
    <n v="5170.6000000000004"/>
    <n v="3081.4"/>
    <n v="1570.6"/>
    <n v="0"/>
    <n v="0"/>
    <n v="2071.6"/>
    <n v="0"/>
    <n v="0"/>
    <n v="1974"/>
    <n v="1626"/>
    <n v="0"/>
    <m/>
    <m/>
  </r>
  <r>
    <x v="14"/>
    <s v="Virginia State University "/>
    <m/>
    <n v="234155"/>
    <x v="2"/>
    <n v="120110"/>
    <n v="113695"/>
    <n v="104696"/>
    <n v="97870"/>
    <n v="159"/>
    <n v="117"/>
    <n v="15255"/>
    <n v="0"/>
    <n v="0"/>
    <n v="15708"/>
    <n v="0"/>
    <n v="0"/>
    <m/>
    <m/>
    <n v="5840"/>
    <n v="6016"/>
    <n v="5222"/>
    <n v="5536"/>
    <n v="0"/>
    <n v="0"/>
    <n v="618"/>
    <n v="0"/>
    <n v="0"/>
    <n v="480"/>
    <n v="0"/>
    <n v="0"/>
    <m/>
    <m/>
  </r>
  <r>
    <x v="14"/>
    <s v="Christopher Newport University"/>
    <m/>
    <n v="231712"/>
    <x v="4"/>
    <n v="139911"/>
    <n v="139327"/>
    <n v="139118"/>
    <n v="103475"/>
    <n v="679"/>
    <n v="854"/>
    <n v="114"/>
    <n v="0"/>
    <n v="0"/>
    <n v="34998"/>
    <n v="0"/>
    <n v="0"/>
    <m/>
    <m/>
    <n v="2591"/>
    <n v="2776"/>
    <n v="2591"/>
    <n v="2080"/>
    <n v="0"/>
    <n v="0"/>
    <m/>
    <m/>
    <m/>
    <n v="696"/>
    <n v="0"/>
    <n v="0"/>
    <m/>
    <m/>
  </r>
  <r>
    <x v="14"/>
    <s v="University of Virginia's College at Wise "/>
    <m/>
    <n v="233897"/>
    <x v="5"/>
    <n v="45800"/>
    <n v="45821"/>
    <n v="34343"/>
    <n v="32708"/>
    <n v="0"/>
    <n v="717"/>
    <n v="11457"/>
    <n v="0"/>
    <n v="0"/>
    <n v="12396"/>
    <n v="0"/>
    <n v="0"/>
    <m/>
    <m/>
    <n v="0"/>
    <n v="0"/>
    <m/>
    <n v="0"/>
    <m/>
    <m/>
    <m/>
    <m/>
    <m/>
    <m/>
    <m/>
    <m/>
    <m/>
    <m/>
  </r>
  <r>
    <x v="14"/>
    <s v="J.S. Reynolds Community College"/>
    <m/>
    <n v="232414"/>
    <x v="6"/>
    <n v="164046"/>
    <n v="157772"/>
    <n v="81613"/>
    <n v="39668"/>
    <n v="14993"/>
    <n v="18462"/>
    <n v="67383"/>
    <n v="57"/>
    <n v="0"/>
    <n v="96819"/>
    <n v="92"/>
    <n v="2731"/>
    <m/>
    <m/>
    <n v="0"/>
    <n v="0"/>
    <m/>
    <n v="0"/>
    <m/>
    <m/>
    <m/>
    <m/>
    <m/>
    <m/>
    <m/>
    <m/>
    <m/>
    <m/>
  </r>
  <r>
    <x v="14"/>
    <s v="John Tyler Community College"/>
    <m/>
    <n v="232450"/>
    <x v="6"/>
    <n v="165336"/>
    <n v="158949"/>
    <n v="83788"/>
    <n v="43773"/>
    <n v="25633"/>
    <n v="26931"/>
    <n v="55915"/>
    <n v="0"/>
    <n v="0"/>
    <n v="75827"/>
    <n v="5812"/>
    <n v="6606"/>
    <m/>
    <m/>
    <n v="0"/>
    <n v="0"/>
    <m/>
    <n v="0"/>
    <m/>
    <m/>
    <m/>
    <m/>
    <m/>
    <m/>
    <m/>
    <m/>
    <m/>
    <m/>
  </r>
  <r>
    <x v="14"/>
    <s v="Northern Virginia Community College "/>
    <m/>
    <n v="232946"/>
    <x v="6"/>
    <n v="942305"/>
    <n v="923343"/>
    <n v="627431"/>
    <n v="348674"/>
    <n v="120777"/>
    <n v="108807"/>
    <n v="193683"/>
    <n v="414"/>
    <n v="0"/>
    <n v="420022"/>
    <n v="45757"/>
    <n v="83"/>
    <m/>
    <m/>
    <n v="0"/>
    <n v="0"/>
    <m/>
    <n v="0"/>
    <m/>
    <m/>
    <m/>
    <m/>
    <m/>
    <m/>
    <m/>
    <m/>
    <m/>
    <m/>
  </r>
  <r>
    <x v="14"/>
    <s v="Thomas Nelson Community College "/>
    <s v="Met the criteria for Two-Year 2 in 2019-20 and 2020-21."/>
    <n v="233754"/>
    <x v="6"/>
    <n v="144941"/>
    <n v="132345"/>
    <n v="73789"/>
    <n v="45693"/>
    <n v="15057"/>
    <n v="6657"/>
    <n v="56020"/>
    <n v="75"/>
    <n v="0"/>
    <n v="78682"/>
    <n v="184"/>
    <n v="1129"/>
    <m/>
    <m/>
    <n v="0"/>
    <n v="0"/>
    <m/>
    <n v="0"/>
    <m/>
    <m/>
    <m/>
    <m/>
    <m/>
    <m/>
    <m/>
    <m/>
    <m/>
    <m/>
  </r>
  <r>
    <x v="14"/>
    <s v="Tidewater Community College "/>
    <m/>
    <n v="233772"/>
    <x v="6"/>
    <n v="403321"/>
    <n v="359351"/>
    <n v="232146"/>
    <n v="119520"/>
    <n v="27452"/>
    <n v="15817"/>
    <n v="143638"/>
    <n v="85"/>
    <n v="0"/>
    <n v="218874"/>
    <n v="3243"/>
    <n v="1897"/>
    <m/>
    <m/>
    <n v="0"/>
    <n v="0"/>
    <m/>
    <n v="0"/>
    <m/>
    <m/>
    <m/>
    <m/>
    <m/>
    <m/>
    <m/>
    <m/>
    <m/>
    <m/>
  </r>
  <r>
    <x v="14"/>
    <s v="Blue Ridge Community College "/>
    <m/>
    <n v="231536"/>
    <x v="7"/>
    <n v="68933"/>
    <n v="64957"/>
    <n v="31831"/>
    <n v="15647"/>
    <n v="8154"/>
    <n v="3842"/>
    <n v="28948"/>
    <n v="0"/>
    <n v="0"/>
    <n v="44823"/>
    <n v="574"/>
    <n v="71"/>
    <m/>
    <m/>
    <n v="0"/>
    <n v="0"/>
    <m/>
    <n v="0"/>
    <m/>
    <m/>
    <m/>
    <m/>
    <m/>
    <m/>
    <m/>
    <m/>
    <m/>
    <m/>
  </r>
  <r>
    <x v="14"/>
    <s v="Central Virginia Community College "/>
    <m/>
    <n v="231697"/>
    <x v="7"/>
    <n v="69284"/>
    <n v="64772"/>
    <n v="34425"/>
    <n v="17305"/>
    <n v="15203"/>
    <n v="8530"/>
    <n v="16438"/>
    <n v="3218"/>
    <n v="0"/>
    <n v="34671"/>
    <n v="4226"/>
    <n v="40"/>
    <m/>
    <m/>
    <n v="0"/>
    <n v="0"/>
    <m/>
    <n v="0"/>
    <m/>
    <m/>
    <m/>
    <m/>
    <m/>
    <m/>
    <m/>
    <m/>
    <m/>
    <m/>
  </r>
  <r>
    <x v="14"/>
    <s v="Germanna Community College"/>
    <m/>
    <n v="232195"/>
    <x v="7"/>
    <n v="131140"/>
    <n v="135978"/>
    <n v="56869"/>
    <n v="27812"/>
    <n v="22055"/>
    <n v="17979"/>
    <n v="37522"/>
    <n v="14694"/>
    <n v="0"/>
    <n v="83065"/>
    <n v="7122"/>
    <n v="0"/>
    <m/>
    <m/>
    <n v="0"/>
    <n v="0"/>
    <m/>
    <n v="0"/>
    <m/>
    <m/>
    <m/>
    <m/>
    <m/>
    <m/>
    <m/>
    <m/>
    <m/>
    <m/>
  </r>
  <r>
    <x v="14"/>
    <s v="Lord Fairfax Community College"/>
    <m/>
    <n v="232575"/>
    <x v="7"/>
    <n v="118340"/>
    <n v="115532"/>
    <n v="36478"/>
    <n v="17496"/>
    <n v="33633"/>
    <n v="33298"/>
    <n v="36443"/>
    <n v="11786"/>
    <n v="0"/>
    <n v="49793"/>
    <n v="14945"/>
    <n v="0"/>
    <m/>
    <m/>
    <n v="0"/>
    <n v="0"/>
    <m/>
    <n v="0"/>
    <m/>
    <m/>
    <m/>
    <m/>
    <m/>
    <m/>
    <m/>
    <m/>
    <m/>
    <m/>
  </r>
  <r>
    <x v="14"/>
    <s v="New River Community College "/>
    <m/>
    <n v="232867"/>
    <x v="7"/>
    <n v="78876"/>
    <n v="78768"/>
    <n v="17397"/>
    <n v="10406"/>
    <n v="31689"/>
    <n v="26416"/>
    <n v="29017"/>
    <n v="773"/>
    <n v="0"/>
    <n v="41104"/>
    <n v="842"/>
    <n v="0"/>
    <m/>
    <m/>
    <n v="0"/>
    <n v="0"/>
    <m/>
    <n v="0"/>
    <m/>
    <m/>
    <m/>
    <m/>
    <m/>
    <m/>
    <m/>
    <m/>
    <m/>
    <m/>
  </r>
  <r>
    <x v="14"/>
    <s v="Piedmont Virginia Community College "/>
    <m/>
    <n v="233116"/>
    <x v="7"/>
    <n v="83467"/>
    <n v="82065"/>
    <n v="43393"/>
    <n v="20828"/>
    <n v="18474"/>
    <n v="18212"/>
    <n v="19787"/>
    <n v="1813"/>
    <n v="0"/>
    <n v="41019"/>
    <n v="1941"/>
    <n v="65"/>
    <m/>
    <m/>
    <n v="0"/>
    <n v="0"/>
    <m/>
    <n v="0"/>
    <m/>
    <m/>
    <m/>
    <m/>
    <m/>
    <m/>
    <m/>
    <m/>
    <m/>
    <m/>
  </r>
  <r>
    <x v="14"/>
    <s v="Southside Virginia Community College"/>
    <s v="Met the criteria for Two-Year 3 in 2019-20 and 2020-21."/>
    <n v="233639"/>
    <x v="7"/>
    <n v="59341"/>
    <n v="59742"/>
    <n v="12345"/>
    <n v="5380"/>
    <n v="26066"/>
    <n v="13603"/>
    <n v="17907"/>
    <n v="3023"/>
    <n v="0"/>
    <n v="37427"/>
    <n v="2224"/>
    <n v="1108"/>
    <m/>
    <m/>
    <n v="0"/>
    <n v="0"/>
    <m/>
    <n v="0"/>
    <m/>
    <m/>
    <m/>
    <m/>
    <m/>
    <m/>
    <m/>
    <m/>
    <m/>
    <m/>
  </r>
  <r>
    <x v="14"/>
    <s v="Virginia Western Community College "/>
    <m/>
    <n v="233949"/>
    <x v="7"/>
    <n v="108663"/>
    <n v="103122"/>
    <n v="54096"/>
    <n v="26919"/>
    <n v="21139"/>
    <n v="19742"/>
    <n v="25261"/>
    <n v="8167"/>
    <n v="0"/>
    <n v="51025"/>
    <n v="5436"/>
    <n v="0"/>
    <m/>
    <m/>
    <n v="0"/>
    <n v="0"/>
    <m/>
    <n v="0"/>
    <m/>
    <m/>
    <m/>
    <m/>
    <m/>
    <m/>
    <m/>
    <m/>
    <m/>
    <m/>
  </r>
  <r>
    <x v="14"/>
    <s v="D.S. Lancaster Community College "/>
    <m/>
    <n v="231873"/>
    <x v="8"/>
    <n v="17842"/>
    <n v="18656"/>
    <n v="7796"/>
    <n v="3845"/>
    <n v="4452"/>
    <n v="4773"/>
    <n v="4054"/>
    <n v="1540"/>
    <n v="0"/>
    <n v="8993"/>
    <n v="769"/>
    <n v="276"/>
    <m/>
    <m/>
    <n v="0"/>
    <n v="0"/>
    <m/>
    <n v="0"/>
    <m/>
    <m/>
    <m/>
    <m/>
    <m/>
    <m/>
    <m/>
    <m/>
    <m/>
    <m/>
  </r>
  <r>
    <x v="14"/>
    <s v="Danville Community College "/>
    <m/>
    <n v="231882"/>
    <x v="8"/>
    <n v="53919"/>
    <n v="49488"/>
    <n v="28672"/>
    <n v="17149"/>
    <n v="15567"/>
    <n v="6726"/>
    <n v="8268"/>
    <n v="1412"/>
    <n v="0"/>
    <n v="17911"/>
    <n v="4678"/>
    <n v="3024"/>
    <m/>
    <m/>
    <n v="0"/>
    <n v="0"/>
    <m/>
    <n v="0"/>
    <m/>
    <m/>
    <m/>
    <m/>
    <m/>
    <m/>
    <m/>
    <m/>
    <m/>
    <m/>
  </r>
  <r>
    <x v="14"/>
    <s v="Eastern Shore Community College"/>
    <m/>
    <n v="232052"/>
    <x v="8"/>
    <n v="10399"/>
    <n v="12182"/>
    <n v="6162"/>
    <n v="3463"/>
    <n v="2537"/>
    <n v="3126"/>
    <n v="1700"/>
    <n v="0"/>
    <n v="0"/>
    <n v="4217"/>
    <n v="286"/>
    <n v="1090"/>
    <m/>
    <m/>
    <n v="0"/>
    <n v="0"/>
    <m/>
    <n v="0"/>
    <m/>
    <m/>
    <m/>
    <m/>
    <m/>
    <m/>
    <m/>
    <m/>
    <m/>
    <m/>
  </r>
  <r>
    <x v="14"/>
    <s v="Mountain Empire Community College"/>
    <m/>
    <n v="232788"/>
    <x v="8"/>
    <n v="46948"/>
    <n v="45237"/>
    <n v="18852"/>
    <n v="9040"/>
    <n v="7015"/>
    <n v="6919"/>
    <n v="18888"/>
    <n v="2193"/>
    <n v="0"/>
    <n v="24467"/>
    <n v="3364"/>
    <n v="1447"/>
    <m/>
    <m/>
    <n v="0"/>
    <n v="0"/>
    <m/>
    <n v="0"/>
    <m/>
    <m/>
    <m/>
    <m/>
    <m/>
    <m/>
    <m/>
    <m/>
    <m/>
    <m/>
  </r>
  <r>
    <x v="14"/>
    <s v="Patrick Henry Community College "/>
    <m/>
    <n v="233019"/>
    <x v="8"/>
    <n v="50486"/>
    <n v="46085"/>
    <n v="21521"/>
    <n v="15750"/>
    <n v="7299"/>
    <n v="3742"/>
    <n v="19741"/>
    <n v="1925"/>
    <n v="0"/>
    <n v="23902"/>
    <n v="2673"/>
    <n v="18"/>
    <m/>
    <m/>
    <n v="0"/>
    <n v="0"/>
    <m/>
    <n v="0"/>
    <m/>
    <m/>
    <m/>
    <m/>
    <m/>
    <m/>
    <m/>
    <m/>
    <m/>
    <m/>
  </r>
  <r>
    <x v="14"/>
    <s v="Paul D. Camp Community College"/>
    <m/>
    <n v="233037"/>
    <x v="8"/>
    <n v="23403"/>
    <n v="22936"/>
    <n v="5374"/>
    <n v="2699"/>
    <n v="5201"/>
    <n v="5967"/>
    <n v="11669"/>
    <n v="1159"/>
    <n v="0"/>
    <n v="10869"/>
    <n v="2384"/>
    <n v="1017"/>
    <m/>
    <m/>
    <n v="0"/>
    <n v="0"/>
    <m/>
    <n v="0"/>
    <m/>
    <m/>
    <m/>
    <m/>
    <m/>
    <m/>
    <m/>
    <m/>
    <m/>
    <m/>
  </r>
  <r>
    <x v="14"/>
    <s v="Rappahannock Community College"/>
    <m/>
    <n v="233310"/>
    <x v="8"/>
    <n v="50806"/>
    <n v="47910"/>
    <n v="9697"/>
    <n v="6538"/>
    <n v="16478"/>
    <n v="14042"/>
    <n v="15190"/>
    <n v="9441"/>
    <n v="0"/>
    <n v="20616"/>
    <n v="6714"/>
    <n v="0"/>
    <m/>
    <m/>
    <n v="0"/>
    <n v="0"/>
    <m/>
    <n v="0"/>
    <m/>
    <m/>
    <m/>
    <m/>
    <m/>
    <m/>
    <m/>
    <m/>
    <m/>
    <m/>
  </r>
  <r>
    <x v="14"/>
    <s v="Richard Bland College "/>
    <m/>
    <n v="233338"/>
    <x v="8"/>
    <n v="37879"/>
    <n v="36848"/>
    <n v="20787"/>
    <n v="19540"/>
    <n v="12065"/>
    <n v="11435"/>
    <n v="5027"/>
    <n v="0"/>
    <n v="0"/>
    <n v="5873"/>
    <n v="0"/>
    <n v="0"/>
    <m/>
    <m/>
    <n v="0"/>
    <n v="0"/>
    <m/>
    <n v="0"/>
    <m/>
    <m/>
    <m/>
    <m/>
    <m/>
    <m/>
    <m/>
    <m/>
    <m/>
    <m/>
  </r>
  <r>
    <x v="14"/>
    <s v="Southwest Virginia Community College "/>
    <m/>
    <n v="233648"/>
    <x v="8"/>
    <n v="47553"/>
    <n v="48714"/>
    <n v="14885"/>
    <n v="7865"/>
    <n v="8771"/>
    <n v="4481"/>
    <n v="21149"/>
    <n v="2748"/>
    <n v="0"/>
    <n v="31726"/>
    <n v="4642"/>
    <n v="0"/>
    <m/>
    <m/>
    <n v="0"/>
    <n v="0"/>
    <m/>
    <n v="0"/>
    <m/>
    <m/>
    <m/>
    <m/>
    <m/>
    <m/>
    <m/>
    <m/>
    <m/>
    <m/>
  </r>
  <r>
    <x v="14"/>
    <s v="Virginia Highlands Community College "/>
    <m/>
    <n v="233903"/>
    <x v="8"/>
    <n v="43893"/>
    <n v="41985"/>
    <n v="17050"/>
    <n v="9096"/>
    <n v="7779"/>
    <n v="6396"/>
    <n v="17066"/>
    <n v="1998"/>
    <n v="0"/>
    <n v="20767"/>
    <n v="5360"/>
    <n v="366"/>
    <m/>
    <m/>
    <n v="0"/>
    <n v="0"/>
    <m/>
    <n v="0"/>
    <m/>
    <m/>
    <m/>
    <m/>
    <m/>
    <m/>
    <m/>
    <m/>
    <m/>
    <m/>
  </r>
  <r>
    <x v="14"/>
    <s v="Wytheville Community College "/>
    <m/>
    <n v="234377"/>
    <x v="8"/>
    <n v="46714"/>
    <n v="44087"/>
    <n v="7284"/>
    <n v="3528"/>
    <n v="13441"/>
    <n v="11184"/>
    <n v="22090"/>
    <n v="3899"/>
    <n v="0"/>
    <n v="24909"/>
    <n v="4466"/>
    <n v="0"/>
    <m/>
    <m/>
    <n v="0"/>
    <n v="0"/>
    <m/>
    <n v="0"/>
    <m/>
    <m/>
    <m/>
    <m/>
    <m/>
    <m/>
    <m/>
    <m/>
    <m/>
    <m/>
  </r>
  <r>
    <x v="15"/>
    <s v="West Virginia University"/>
    <m/>
    <n v="238032"/>
    <x v="0"/>
    <n v="610650"/>
    <n v="598709"/>
    <n v="524686"/>
    <n v="329095"/>
    <n v="5406"/>
    <n v="9465"/>
    <n v="78304"/>
    <n v="0"/>
    <n v="2254"/>
    <n v="259318"/>
    <m/>
    <n v="831"/>
    <m/>
    <m/>
    <n v="85974"/>
    <n v="88595"/>
    <n v="58465"/>
    <n v="51120"/>
    <n v="2027"/>
    <n v="1213"/>
    <n v="24969"/>
    <n v="48"/>
    <n v="465"/>
    <n v="35462"/>
    <n v="21"/>
    <n v="779"/>
    <m/>
    <m/>
  </r>
  <r>
    <x v="15"/>
    <s v="Marshall University "/>
    <m/>
    <n v="237525"/>
    <x v="2"/>
    <n v="246456"/>
    <n v="237987"/>
    <n v="174670"/>
    <n v="107586"/>
    <n v="24017"/>
    <n v="15655"/>
    <n v="44014"/>
    <n v="3755"/>
    <m/>
    <n v="111493"/>
    <n v="3253"/>
    <m/>
    <m/>
    <m/>
    <n v="64539"/>
    <n v="61591"/>
    <n v="31678"/>
    <n v="18142"/>
    <n v="11651"/>
    <n v="5728"/>
    <n v="20309"/>
    <n v="901"/>
    <m/>
    <n v="36941"/>
    <n v="780"/>
    <m/>
    <m/>
    <m/>
  </r>
  <r>
    <x v="15"/>
    <s v="Concord University "/>
    <m/>
    <n v="237330"/>
    <x v="4"/>
    <n v="46415"/>
    <n v="43427"/>
    <n v="30642"/>
    <n v="13278"/>
    <n v="3407"/>
    <n v="1618"/>
    <n v="11004"/>
    <n v="1356"/>
    <n v="6"/>
    <n v="27936"/>
    <n v="595"/>
    <m/>
    <m/>
    <m/>
    <n v="6600"/>
    <n v="6552"/>
    <n v="306"/>
    <n v="375"/>
    <m/>
    <m/>
    <n v="6294"/>
    <m/>
    <m/>
    <n v="6177"/>
    <m/>
    <m/>
    <m/>
    <m/>
  </r>
  <r>
    <x v="15"/>
    <s v="Fairmont State University"/>
    <m/>
    <n v="237367"/>
    <x v="4"/>
    <n v="96814"/>
    <n v="94745"/>
    <n v="71061"/>
    <n v="62937"/>
    <n v="1189"/>
    <n v="2117"/>
    <n v="24564"/>
    <n v="0"/>
    <m/>
    <n v="29691"/>
    <m/>
    <m/>
    <m/>
    <m/>
    <n v="3623"/>
    <n v="3930"/>
    <n v="796"/>
    <n v="654"/>
    <n v="3"/>
    <n v="3"/>
    <n v="2824"/>
    <m/>
    <m/>
    <n v="3273"/>
    <m/>
    <m/>
    <m/>
    <m/>
  </r>
  <r>
    <x v="15"/>
    <s v="Shepherd University "/>
    <m/>
    <n v="237792"/>
    <x v="4"/>
    <n v="80901"/>
    <n v="75437"/>
    <n v="69269"/>
    <n v="39954"/>
    <n v="0"/>
    <n v="0"/>
    <n v="11632"/>
    <n v="0"/>
    <m/>
    <n v="35483"/>
    <m/>
    <m/>
    <m/>
    <m/>
    <n v="6735"/>
    <n v="11322"/>
    <n v="5115"/>
    <n v="3894"/>
    <m/>
    <m/>
    <n v="1620"/>
    <m/>
    <m/>
    <n v="7428"/>
    <m/>
    <m/>
    <m/>
    <m/>
  </r>
  <r>
    <x v="15"/>
    <s v="West Liberty University"/>
    <s v="Met the criteria for Four-Year 4 in 2019-20 and 2020-21."/>
    <n v="237932"/>
    <x v="4"/>
    <n v="61346"/>
    <n v="59963"/>
    <n v="52862"/>
    <n v="49687"/>
    <n v="2245"/>
    <n v="2309"/>
    <n v="6239"/>
    <n v="0"/>
    <m/>
    <n v="7967"/>
    <m/>
    <m/>
    <m/>
    <m/>
    <n v="6131"/>
    <n v="7340"/>
    <n v="2853"/>
    <n v="3345"/>
    <n v="789"/>
    <n v="1035"/>
    <n v="2489"/>
    <m/>
    <m/>
    <n v="2960"/>
    <m/>
    <m/>
    <m/>
    <m/>
  </r>
  <r>
    <x v="15"/>
    <s v="Bluefield State College "/>
    <m/>
    <n v="237215"/>
    <x v="5"/>
    <n v="32684"/>
    <n v="31533"/>
    <n v="13094"/>
    <n v="11407"/>
    <n v="3031"/>
    <n v="2918"/>
    <n v="16436"/>
    <n v="123"/>
    <m/>
    <n v="17208"/>
    <m/>
    <m/>
    <m/>
    <m/>
    <n v="0"/>
    <n v="0"/>
    <m/>
    <m/>
    <m/>
    <m/>
    <m/>
    <m/>
    <m/>
    <m/>
    <m/>
    <m/>
    <m/>
    <m/>
  </r>
  <r>
    <x v="15"/>
    <s v="Glenville State College "/>
    <m/>
    <n v="237385"/>
    <x v="5"/>
    <n v="35068"/>
    <n v="36888"/>
    <n v="21852"/>
    <n v="17265"/>
    <n v="6230"/>
    <n v="6778"/>
    <n v="6986"/>
    <n v="0"/>
    <m/>
    <n v="12845"/>
    <m/>
    <m/>
    <m/>
    <m/>
    <n v="0"/>
    <n v="0"/>
    <m/>
    <m/>
    <m/>
    <m/>
    <m/>
    <m/>
    <m/>
    <m/>
    <m/>
    <m/>
    <m/>
    <m/>
  </r>
  <r>
    <x v="15"/>
    <s v="West Virginia State University "/>
    <s v="Met the criteria for Four-Year 4 in 2019-20 and 2020-21."/>
    <n v="237899"/>
    <x v="5"/>
    <n v="69562"/>
    <n v="65039"/>
    <n v="31093"/>
    <n v="26195"/>
    <n v="18617"/>
    <n v="13817"/>
    <n v="19852"/>
    <n v="0"/>
    <m/>
    <n v="25027"/>
    <m/>
    <m/>
    <m/>
    <m/>
    <n v="2419"/>
    <n v="2353"/>
    <n v="1789"/>
    <n v="1696"/>
    <n v="3"/>
    <n v="0"/>
    <n v="627"/>
    <m/>
    <m/>
    <n v="657"/>
    <m/>
    <m/>
    <m/>
    <m/>
  </r>
  <r>
    <x v="15"/>
    <s v="West Virginia University Institute of Technology"/>
    <m/>
    <n v="237950"/>
    <x v="5"/>
    <n v="40412"/>
    <n v="39462"/>
    <n v="31646"/>
    <n v="28265"/>
    <n v="282"/>
    <n v="125"/>
    <n v="8482"/>
    <n v="0"/>
    <n v="2"/>
    <n v="11072"/>
    <m/>
    <m/>
    <m/>
    <m/>
    <n v="0"/>
    <n v="0"/>
    <m/>
    <m/>
    <m/>
    <m/>
    <m/>
    <m/>
    <m/>
    <m/>
    <m/>
    <m/>
    <m/>
    <m/>
  </r>
  <r>
    <x v="15"/>
    <s v="Potomac State College of West Virginia University"/>
    <m/>
    <n v="237701"/>
    <x v="13"/>
    <n v="32548"/>
    <n v="31688"/>
    <n v="26067"/>
    <n v="21400"/>
    <n v="2063"/>
    <n v="1886"/>
    <n v="4402"/>
    <n v="0"/>
    <n v="16"/>
    <n v="8399"/>
    <m/>
    <n v="3"/>
    <m/>
    <m/>
    <n v="0"/>
    <n v="0"/>
    <m/>
    <m/>
    <m/>
    <m/>
    <m/>
    <m/>
    <m/>
    <m/>
    <m/>
    <m/>
    <m/>
    <m/>
  </r>
  <r>
    <x v="15"/>
    <s v="West Virginia University at Parkersburg"/>
    <s v="Met the criteria for Four-Year 6 in 2020-21."/>
    <n v="237686"/>
    <x v="13"/>
    <n v="53924"/>
    <n v="54053"/>
    <n v="22376"/>
    <n v="26296"/>
    <n v="4162"/>
    <n v="3738"/>
    <n v="27386"/>
    <n v="0"/>
    <m/>
    <n v="24019"/>
    <m/>
    <m/>
    <m/>
    <m/>
    <n v="0"/>
    <n v="0"/>
    <m/>
    <m/>
    <m/>
    <m/>
    <m/>
    <m/>
    <m/>
    <m/>
    <m/>
    <m/>
    <m/>
    <m/>
  </r>
  <r>
    <x v="15"/>
    <s v="Blue Ridge Community &amp; Technical College"/>
    <s v="Met the criteria for Two-Year 3 in 2020-21."/>
    <n v="446774"/>
    <x v="7"/>
    <n v="65355"/>
    <n v="50852"/>
    <n v="41487"/>
    <n v="17828"/>
    <n v="8876"/>
    <n v="4962"/>
    <n v="14992"/>
    <n v="0"/>
    <m/>
    <n v="28062"/>
    <m/>
    <m/>
    <m/>
    <m/>
    <n v="0"/>
    <n v="0"/>
    <m/>
    <m/>
    <m/>
    <m/>
    <m/>
    <m/>
    <m/>
    <m/>
    <m/>
    <m/>
    <m/>
    <m/>
  </r>
  <r>
    <x v="15"/>
    <s v="BridgeValley Community &amp; Technical College"/>
    <m/>
    <n v="484932"/>
    <x v="8"/>
    <n v="37751"/>
    <n v="36783"/>
    <n v="28246"/>
    <n v="25317"/>
    <n v="21"/>
    <n v="14"/>
    <n v="9484"/>
    <n v="0"/>
    <m/>
    <n v="11452"/>
    <m/>
    <m/>
    <m/>
    <m/>
    <n v="0"/>
    <n v="0"/>
    <m/>
    <m/>
    <m/>
    <m/>
    <m/>
    <m/>
    <m/>
    <m/>
    <m/>
    <m/>
    <m/>
    <m/>
  </r>
  <r>
    <x v="15"/>
    <s v="Eastern West Virginia Community &amp; Technical College"/>
    <m/>
    <n v="438708"/>
    <x v="8"/>
    <n v="7607"/>
    <n v="6596"/>
    <n v="3541"/>
    <n v="2126"/>
    <n v="1840"/>
    <n v="1140"/>
    <n v="2226"/>
    <n v="0"/>
    <m/>
    <n v="3330"/>
    <m/>
    <m/>
    <m/>
    <m/>
    <n v="0"/>
    <n v="0"/>
    <m/>
    <m/>
    <m/>
    <m/>
    <m/>
    <m/>
    <m/>
    <m/>
    <m/>
    <m/>
    <m/>
    <m/>
  </r>
  <r>
    <x v="15"/>
    <s v="Mountwest Community &amp; Technical College"/>
    <m/>
    <n v="444954"/>
    <x v="8"/>
    <n v="41061"/>
    <n v="33709"/>
    <n v="23816"/>
    <n v="18883"/>
    <n v="5940"/>
    <n v="2207"/>
    <n v="11305"/>
    <n v="0"/>
    <m/>
    <n v="12619"/>
    <m/>
    <m/>
    <m/>
    <m/>
    <n v="0"/>
    <n v="0"/>
    <m/>
    <m/>
    <m/>
    <m/>
    <m/>
    <m/>
    <m/>
    <m/>
    <m/>
    <m/>
    <m/>
    <m/>
  </r>
  <r>
    <x v="15"/>
    <s v="New River Community &amp; Technical College"/>
    <m/>
    <n v="447582"/>
    <x v="8"/>
    <n v="25691"/>
    <n v="25411"/>
    <n v="15118"/>
    <n v="14346"/>
    <n v="0"/>
    <n v="0"/>
    <n v="10573"/>
    <n v="0"/>
    <m/>
    <n v="11065"/>
    <m/>
    <m/>
    <m/>
    <m/>
    <n v="0"/>
    <n v="0"/>
    <m/>
    <m/>
    <m/>
    <m/>
    <m/>
    <m/>
    <m/>
    <m/>
    <m/>
    <m/>
    <m/>
    <m/>
  </r>
  <r>
    <x v="15"/>
    <s v="Pierpont Community &amp; Technical College"/>
    <m/>
    <n v="443492"/>
    <x v="8"/>
    <n v="38040"/>
    <n v="35579"/>
    <n v="11262"/>
    <n v="3272"/>
    <n v="19563"/>
    <n v="7798"/>
    <n v="7215"/>
    <n v="0"/>
    <m/>
    <n v="23102"/>
    <m/>
    <n v="1407"/>
    <m/>
    <m/>
    <n v="0"/>
    <n v="0"/>
    <m/>
    <m/>
    <m/>
    <m/>
    <m/>
    <m/>
    <m/>
    <m/>
    <m/>
    <m/>
    <m/>
    <m/>
  </r>
  <r>
    <x v="15"/>
    <s v="Southern West Virginia Community &amp; Technical College "/>
    <m/>
    <n v="237817"/>
    <x v="8"/>
    <n v="32492"/>
    <n v="33407"/>
    <n v="14321"/>
    <n v="14149"/>
    <n v="1247"/>
    <n v="1100"/>
    <n v="14754"/>
    <n v="2170"/>
    <m/>
    <n v="16514"/>
    <n v="1644"/>
    <m/>
    <m/>
    <m/>
    <n v="0"/>
    <n v="0"/>
    <m/>
    <m/>
    <m/>
    <m/>
    <m/>
    <m/>
    <m/>
    <m/>
    <m/>
    <m/>
    <m/>
    <m/>
  </r>
  <r>
    <x v="15"/>
    <s v="West Virginia Northern Community College"/>
    <m/>
    <n v="238014"/>
    <x v="8"/>
    <n v="30313"/>
    <n v="27865"/>
    <n v="13677"/>
    <n v="6648"/>
    <n v="0"/>
    <n v="0"/>
    <n v="14519"/>
    <n v="2117"/>
    <m/>
    <n v="20010"/>
    <n v="1207"/>
    <m/>
    <m/>
    <m/>
    <n v="0"/>
    <n v="0"/>
    <m/>
    <m/>
    <m/>
    <m/>
    <m/>
    <m/>
    <m/>
    <m/>
    <m/>
    <m/>
    <m/>
    <m/>
  </r>
  <r>
    <x v="15"/>
    <s v="Academy of Careers and Technology"/>
    <m/>
    <n v="237729"/>
    <x v="14"/>
    <n v="0"/>
    <n v="0"/>
    <n v="0"/>
    <m/>
    <n v="0"/>
    <m/>
    <n v="0"/>
    <n v="0"/>
    <n v="0"/>
    <m/>
    <m/>
    <m/>
    <n v="0"/>
    <m/>
    <n v="0"/>
    <n v="0"/>
    <m/>
    <m/>
    <m/>
    <m/>
    <m/>
    <m/>
    <m/>
    <m/>
    <m/>
    <m/>
    <m/>
    <m/>
  </r>
  <r>
    <x v="15"/>
    <s v="Ben Franklin Career Center"/>
    <m/>
    <n v="237172"/>
    <x v="14"/>
    <n v="0"/>
    <n v="0"/>
    <n v="0"/>
    <m/>
    <n v="0"/>
    <m/>
    <n v="0"/>
    <n v="0"/>
    <n v="0"/>
    <m/>
    <m/>
    <m/>
    <n v="0"/>
    <m/>
    <n v="0"/>
    <n v="0"/>
    <m/>
    <m/>
    <m/>
    <m/>
    <m/>
    <m/>
    <m/>
    <m/>
    <m/>
    <m/>
    <m/>
    <m/>
  </r>
  <r>
    <x v="15"/>
    <s v="Boone Career and Technical Center"/>
    <m/>
    <n v="237224"/>
    <x v="14"/>
    <n v="0"/>
    <n v="0"/>
    <n v="0"/>
    <m/>
    <n v="0"/>
    <m/>
    <n v="0"/>
    <n v="0"/>
    <n v="0"/>
    <m/>
    <m/>
    <m/>
    <n v="0"/>
    <m/>
    <n v="0"/>
    <n v="0"/>
    <m/>
    <m/>
    <m/>
    <m/>
    <m/>
    <m/>
    <m/>
    <m/>
    <m/>
    <m/>
    <m/>
    <m/>
  </r>
  <r>
    <x v="15"/>
    <s v="Cabell County Career Technology Center"/>
    <m/>
    <n v="237242"/>
    <x v="14"/>
    <n v="0"/>
    <n v="0"/>
    <n v="0"/>
    <m/>
    <n v="0"/>
    <m/>
    <n v="0"/>
    <n v="0"/>
    <n v="0"/>
    <m/>
    <m/>
    <m/>
    <n v="0"/>
    <m/>
    <n v="0"/>
    <n v="0"/>
    <m/>
    <m/>
    <m/>
    <m/>
    <m/>
    <m/>
    <m/>
    <m/>
    <m/>
    <m/>
    <m/>
    <m/>
  </r>
  <r>
    <x v="15"/>
    <s v="Carver Career and Technical Education Center"/>
    <m/>
    <n v="430795"/>
    <x v="14"/>
    <n v="0"/>
    <n v="0"/>
    <n v="0"/>
    <m/>
    <n v="0"/>
    <m/>
    <n v="0"/>
    <n v="0"/>
    <n v="0"/>
    <m/>
    <m/>
    <m/>
    <n v="0"/>
    <m/>
    <n v="0"/>
    <n v="0"/>
    <m/>
    <m/>
    <m/>
    <m/>
    <m/>
    <m/>
    <m/>
    <m/>
    <m/>
    <m/>
    <m/>
    <m/>
  </r>
  <r>
    <x v="15"/>
    <s v="Fayette Institute of Technology"/>
    <m/>
    <n v="413176"/>
    <x v="14"/>
    <n v="0"/>
    <n v="0"/>
    <n v="0"/>
    <m/>
    <n v="0"/>
    <m/>
    <n v="0"/>
    <n v="0"/>
    <n v="0"/>
    <m/>
    <m/>
    <m/>
    <n v="0"/>
    <m/>
    <n v="0"/>
    <n v="0"/>
    <m/>
    <m/>
    <m/>
    <m/>
    <m/>
    <m/>
    <m/>
    <m/>
    <m/>
    <m/>
    <m/>
    <m/>
  </r>
  <r>
    <x v="15"/>
    <s v="Fred W. Eberle Technical Center "/>
    <m/>
    <n v="237844"/>
    <x v="14"/>
    <n v="0"/>
    <n v="0"/>
    <n v="0"/>
    <m/>
    <n v="0"/>
    <m/>
    <n v="0"/>
    <n v="0"/>
    <n v="0"/>
    <m/>
    <m/>
    <m/>
    <n v="0"/>
    <m/>
    <n v="0"/>
    <n v="0"/>
    <m/>
    <m/>
    <m/>
    <m/>
    <m/>
    <m/>
    <m/>
    <m/>
    <m/>
    <m/>
    <m/>
    <m/>
  </r>
  <r>
    <x v="15"/>
    <s v="Garnet Career Center "/>
    <m/>
    <n v="431169"/>
    <x v="14"/>
    <n v="0"/>
    <n v="0"/>
    <n v="0"/>
    <m/>
    <n v="0"/>
    <m/>
    <n v="0"/>
    <n v="0"/>
    <n v="0"/>
    <m/>
    <m/>
    <m/>
    <n v="0"/>
    <m/>
    <n v="0"/>
    <n v="0"/>
    <m/>
    <m/>
    <m/>
    <m/>
    <m/>
    <m/>
    <m/>
    <m/>
    <m/>
    <m/>
    <m/>
    <m/>
  </r>
  <r>
    <x v="15"/>
    <s v="James Rumsey Technical Institute"/>
    <m/>
    <n v="237473"/>
    <x v="14"/>
    <n v="0"/>
    <n v="0"/>
    <n v="0"/>
    <m/>
    <n v="0"/>
    <m/>
    <n v="0"/>
    <n v="0"/>
    <n v="0"/>
    <m/>
    <m/>
    <m/>
    <n v="0"/>
    <m/>
    <n v="0"/>
    <n v="0"/>
    <m/>
    <m/>
    <m/>
    <m/>
    <m/>
    <m/>
    <m/>
    <m/>
    <m/>
    <m/>
    <m/>
    <m/>
  </r>
  <r>
    <x v="15"/>
    <s v="John D. Rockefeller IV Career Center"/>
    <m/>
    <n v="446349"/>
    <x v="14"/>
    <n v="0"/>
    <n v="0"/>
    <n v="0"/>
    <m/>
    <n v="0"/>
    <m/>
    <n v="0"/>
    <n v="0"/>
    <n v="0"/>
    <m/>
    <m/>
    <m/>
    <n v="0"/>
    <m/>
    <n v="0"/>
    <n v="0"/>
    <m/>
    <m/>
    <m/>
    <m/>
    <m/>
    <m/>
    <m/>
    <m/>
    <m/>
    <m/>
    <m/>
    <m/>
  </r>
  <r>
    <x v="15"/>
    <s v="Marion County Technical Center"/>
    <m/>
    <n v="237516"/>
    <x v="14"/>
    <n v="0"/>
    <n v="0"/>
    <n v="0"/>
    <m/>
    <n v="0"/>
    <m/>
    <n v="0"/>
    <n v="0"/>
    <n v="0"/>
    <m/>
    <m/>
    <m/>
    <n v="0"/>
    <m/>
    <n v="0"/>
    <n v="0"/>
    <m/>
    <m/>
    <m/>
    <m/>
    <m/>
    <m/>
    <m/>
    <m/>
    <m/>
    <m/>
    <m/>
    <m/>
  </r>
  <r>
    <x v="15"/>
    <s v="McDowell County Career and Technology Center"/>
    <m/>
    <n v="237534"/>
    <x v="14"/>
    <n v="0"/>
    <n v="0"/>
    <n v="0"/>
    <m/>
    <n v="0"/>
    <m/>
    <n v="0"/>
    <n v="0"/>
    <n v="0"/>
    <m/>
    <m/>
    <m/>
    <n v="0"/>
    <m/>
    <n v="0"/>
    <n v="0"/>
    <m/>
    <m/>
    <m/>
    <m/>
    <m/>
    <m/>
    <m/>
    <m/>
    <m/>
    <m/>
    <m/>
    <m/>
  </r>
  <r>
    <x v="15"/>
    <s v="Mercer County Technical Education Center"/>
    <m/>
    <n v="237543"/>
    <x v="14"/>
    <n v="0"/>
    <n v="0"/>
    <n v="0"/>
    <m/>
    <n v="0"/>
    <m/>
    <n v="0"/>
    <n v="0"/>
    <n v="0"/>
    <m/>
    <m/>
    <m/>
    <n v="0"/>
    <m/>
    <n v="0"/>
    <n v="0"/>
    <m/>
    <m/>
    <m/>
    <m/>
    <m/>
    <m/>
    <m/>
    <m/>
    <m/>
    <m/>
    <m/>
    <m/>
  </r>
  <r>
    <x v="15"/>
    <s v="Mineral County Technical Center"/>
    <m/>
    <n v="368647"/>
    <x v="14"/>
    <n v="0"/>
    <n v="0"/>
    <n v="0"/>
    <m/>
    <n v="0"/>
    <m/>
    <n v="0"/>
    <n v="0"/>
    <n v="0"/>
    <m/>
    <m/>
    <m/>
    <n v="0"/>
    <m/>
    <n v="0"/>
    <n v="0"/>
    <m/>
    <m/>
    <m/>
    <m/>
    <m/>
    <m/>
    <m/>
    <m/>
    <m/>
    <m/>
    <m/>
    <m/>
  </r>
  <r>
    <x v="15"/>
    <s v="Monongalia County Technical Education Center "/>
    <m/>
    <n v="237561"/>
    <x v="14"/>
    <n v="0"/>
    <n v="0"/>
    <n v="0"/>
    <m/>
    <n v="0"/>
    <m/>
    <n v="0"/>
    <n v="0"/>
    <n v="0"/>
    <m/>
    <m/>
    <m/>
    <n v="0"/>
    <m/>
    <n v="0"/>
    <n v="0"/>
    <m/>
    <m/>
    <m/>
    <m/>
    <m/>
    <m/>
    <m/>
    <m/>
    <m/>
    <m/>
    <m/>
    <m/>
  </r>
  <r>
    <x v="15"/>
    <s v="Putnam Career and Technical Center"/>
    <m/>
    <n v="419420"/>
    <x v="14"/>
    <n v="0"/>
    <n v="0"/>
    <n v="0"/>
    <m/>
    <n v="0"/>
    <m/>
    <n v="0"/>
    <n v="0"/>
    <n v="0"/>
    <m/>
    <m/>
    <m/>
    <n v="0"/>
    <m/>
    <n v="0"/>
    <n v="0"/>
    <m/>
    <m/>
    <m/>
    <m/>
    <m/>
    <m/>
    <m/>
    <m/>
    <m/>
    <m/>
    <m/>
    <m/>
  </r>
  <r>
    <x v="15"/>
    <s v="Ralph R. Willis Career and Technical Center"/>
    <m/>
    <n v="237491"/>
    <x v="14"/>
    <n v="0"/>
    <n v="0"/>
    <n v="0"/>
    <m/>
    <n v="0"/>
    <m/>
    <n v="0"/>
    <n v="0"/>
    <n v="0"/>
    <m/>
    <m/>
    <m/>
    <n v="0"/>
    <m/>
    <n v="0"/>
    <n v="0"/>
    <m/>
    <m/>
    <m/>
    <m/>
    <m/>
    <m/>
    <m/>
    <m/>
    <m/>
    <m/>
    <m/>
    <m/>
  </r>
  <r>
    <x v="15"/>
    <s v="Roane-Jackson Technical Center"/>
    <m/>
    <n v="364575"/>
    <x v="14"/>
    <n v="0"/>
    <n v="0"/>
    <n v="0"/>
    <m/>
    <n v="0"/>
    <m/>
    <n v="0"/>
    <n v="0"/>
    <n v="0"/>
    <m/>
    <m/>
    <m/>
    <n v="0"/>
    <m/>
    <n v="0"/>
    <n v="0"/>
    <m/>
    <m/>
    <m/>
    <m/>
    <m/>
    <m/>
    <m/>
    <m/>
    <m/>
    <m/>
    <m/>
    <m/>
  </r>
  <r>
    <x v="15"/>
    <s v="South Branch Career &amp; Technical Center"/>
    <m/>
    <n v="441894"/>
    <x v="14"/>
    <n v="0"/>
    <n v="0"/>
    <n v="0"/>
    <m/>
    <n v="0"/>
    <m/>
    <n v="0"/>
    <n v="0"/>
    <n v="0"/>
    <m/>
    <m/>
    <m/>
    <n v="0"/>
    <m/>
    <n v="0"/>
    <n v="0"/>
    <m/>
    <m/>
    <m/>
    <m/>
    <m/>
    <m/>
    <m/>
    <m/>
    <m/>
    <m/>
    <m/>
    <m/>
  </r>
  <r>
    <x v="15"/>
    <s v="United Technical Center"/>
    <m/>
    <n v="419031"/>
    <x v="14"/>
    <n v="0"/>
    <n v="0"/>
    <n v="0"/>
    <m/>
    <n v="0"/>
    <m/>
    <n v="0"/>
    <n v="0"/>
    <n v="0"/>
    <m/>
    <m/>
    <m/>
    <n v="0"/>
    <m/>
    <n v="0"/>
    <n v="0"/>
    <m/>
    <m/>
    <m/>
    <m/>
    <m/>
    <m/>
    <m/>
    <m/>
    <m/>
    <m/>
    <m/>
    <m/>
  </r>
  <r>
    <x v="15"/>
    <s v="Wyoming County Career &amp; Technical Center"/>
    <m/>
    <s v="N/A"/>
    <x v="14"/>
    <n v="0"/>
    <n v="0"/>
    <n v="0"/>
    <m/>
    <n v="0"/>
    <m/>
    <n v="0"/>
    <n v="0"/>
    <n v="0"/>
    <m/>
    <m/>
    <m/>
    <n v="0"/>
    <m/>
    <n v="0"/>
    <n v="0"/>
    <m/>
    <m/>
    <m/>
    <m/>
    <m/>
    <m/>
    <m/>
    <m/>
    <m/>
    <m/>
    <m/>
    <m/>
  </r>
  <r>
    <x v="15"/>
    <s v="Greenbrier School of Practical Nursing"/>
    <m/>
    <s v="N/A"/>
    <x v="11"/>
    <n v="0"/>
    <n v="0"/>
    <n v="0"/>
    <m/>
    <n v="0"/>
    <m/>
    <n v="0"/>
    <n v="0"/>
    <n v="0"/>
    <m/>
    <m/>
    <m/>
    <n v="0"/>
    <m/>
    <n v="0"/>
    <n v="0"/>
    <m/>
    <m/>
    <m/>
    <m/>
    <m/>
    <m/>
    <m/>
    <m/>
    <m/>
    <m/>
    <m/>
    <m/>
  </r>
  <r>
    <x v="15"/>
    <s v="Mingo Extended Learning Center"/>
    <m/>
    <n v="486202"/>
    <x v="11"/>
    <n v="0"/>
    <n v="0"/>
    <n v="0"/>
    <m/>
    <n v="0"/>
    <m/>
    <n v="0"/>
    <n v="0"/>
    <n v="0"/>
    <m/>
    <m/>
    <m/>
    <n v="0"/>
    <m/>
    <n v="0"/>
    <n v="0"/>
    <m/>
    <m/>
    <m/>
    <m/>
    <m/>
    <m/>
    <m/>
    <m/>
    <m/>
    <m/>
    <m/>
    <m/>
  </r>
  <r>
    <x v="15"/>
    <s v="Randolph Technical Center"/>
    <m/>
    <n v="486406"/>
    <x v="11"/>
    <n v="0"/>
    <n v="0"/>
    <n v="0"/>
    <m/>
    <n v="0"/>
    <m/>
    <n v="0"/>
    <n v="0"/>
    <n v="0"/>
    <m/>
    <m/>
    <m/>
    <n v="0"/>
    <m/>
    <n v="0"/>
    <n v="0"/>
    <m/>
    <m/>
    <m/>
    <m/>
    <m/>
    <m/>
    <m/>
    <m/>
    <m/>
    <m/>
    <m/>
    <m/>
  </r>
  <r>
    <x v="15"/>
    <s v="Summers County School of Practical Nursing"/>
    <m/>
    <s v="N/A"/>
    <x v="11"/>
    <n v="0"/>
    <n v="0"/>
    <n v="0"/>
    <m/>
    <n v="0"/>
    <m/>
    <n v="0"/>
    <n v="0"/>
    <n v="0"/>
    <m/>
    <m/>
    <m/>
    <n v="0"/>
    <m/>
    <n v="0"/>
    <n v="0"/>
    <m/>
    <m/>
    <m/>
    <m/>
    <m/>
    <m/>
    <m/>
    <m/>
    <m/>
    <m/>
    <m/>
    <m/>
  </r>
  <r>
    <x v="15"/>
    <s v="Wood County School of Practical Nursing"/>
    <m/>
    <n v="238096"/>
    <x v="11"/>
    <n v="0"/>
    <n v="0"/>
    <n v="0"/>
    <m/>
    <n v="0"/>
    <m/>
    <n v="0"/>
    <n v="0"/>
    <n v="0"/>
    <m/>
    <m/>
    <m/>
    <n v="0"/>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F3CABBE-2EDB-49C6-A015-31D34A1B50D9}" name="PivotTable1" cacheId="28"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U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8">
        <item x="0"/>
        <item x="1"/>
        <item x="2"/>
        <item x="3"/>
        <item x="4"/>
        <item x="5"/>
        <item x="11"/>
        <item x="13"/>
        <item x="6"/>
        <item x="7"/>
        <item x="8"/>
        <item x="9"/>
        <item x="10"/>
        <item h="1" m="1" x="16"/>
        <item h="1" x="14"/>
        <item h="1" m="1" x="15"/>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8">
        <item n="Four-Year +" x="3"/>
        <item n="Two-Year" x="4"/>
        <item n="Technical" x="5"/>
        <item h="1" x="2"/>
        <item h="1" x="1"/>
        <item h="1" x="0"/>
        <item x="6"/>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9">
    <i>
      <x/>
      <x/>
    </i>
    <i r="1">
      <x v="1"/>
    </i>
    <i r="1">
      <x v="2"/>
    </i>
    <i r="1">
      <x v="3"/>
    </i>
    <i r="1">
      <x v="4"/>
    </i>
    <i r="1">
      <x v="5"/>
    </i>
    <i r="1">
      <x v="6"/>
    </i>
    <i t="default">
      <x/>
    </i>
    <i>
      <x v="1"/>
      <x v="7"/>
    </i>
    <i r="1">
      <x v="8"/>
    </i>
    <i r="1">
      <x v="9"/>
    </i>
    <i r="1">
      <x v="10"/>
    </i>
    <i t="default">
      <x v="1"/>
    </i>
    <i>
      <x v="2"/>
      <x v="11"/>
    </i>
    <i r="1">
      <x v="12"/>
    </i>
    <i t="default">
      <x v="2"/>
    </i>
    <i>
      <x v="6"/>
      <x v="16"/>
    </i>
    <i t="default">
      <x v="6"/>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3016">
    <format dxfId="3175">
      <pivotArea field="4" type="button" dataOnly="0" labelOnly="1" outline="0" axis="axisCol" fieldPosition="1"/>
    </format>
    <format dxfId="3174">
      <pivotArea type="topRight" dataOnly="0" labelOnly="1" outline="0" fieldPosition="0"/>
    </format>
    <format dxfId="3173">
      <pivotArea dataOnly="0" labelOnly="1" grandCol="1" outline="0" fieldPosition="0"/>
    </format>
    <format dxfId="3172">
      <pivotArea outline="0" fieldPosition="0"/>
    </format>
    <format dxfId="3171">
      <pivotArea dataOnly="0" labelOnly="1" outline="0" offset="IV256" fieldPosition="0">
        <references count="1">
          <reference field="0" count="1">
            <x v="9"/>
          </reference>
        </references>
      </pivotArea>
    </format>
    <format dxfId="3170">
      <pivotArea dataOnly="0" labelOnly="1" outline="0" fieldPosition="0">
        <references count="1">
          <reference field="0" count="0"/>
        </references>
      </pivotArea>
    </format>
    <format dxfId="3169">
      <pivotArea type="origin" dataOnly="0" labelOnly="1" outline="0" fieldPosition="0"/>
    </format>
    <format dxfId="3168">
      <pivotArea field="0" type="button" dataOnly="0" labelOnly="1" outline="0" axis="axisRow" fieldPosition="0"/>
    </format>
    <format dxfId="3167">
      <pivotArea field="-2" type="button" dataOnly="0" labelOnly="1" outline="0" axis="axisRow" fieldPosition="1"/>
    </format>
    <format dxfId="3166">
      <pivotArea field="4" type="button" dataOnly="0" labelOnly="1" outline="0" axis="axisCol" fieldPosition="1"/>
    </format>
    <format dxfId="3165">
      <pivotArea type="topRight" dataOnly="0" labelOnly="1" outline="0" fieldPosition="0"/>
    </format>
    <format dxfId="3164">
      <pivotArea dataOnly="0" labelOnly="1" grandCol="1" outline="0" offset="IV256" fieldPosition="0"/>
    </format>
    <format dxfId="3163">
      <pivotArea field="0" grandRow="1" outline="0" axis="axisRow" fieldPosition="0">
        <references count="1">
          <reference field="4294967294" count="1" selected="0">
            <x v="35"/>
          </reference>
        </references>
      </pivotArea>
    </format>
    <format dxfId="3162">
      <pivotArea field="0" dataOnly="0" labelOnly="1" grandRow="1" outline="0" axis="axisRow" fieldPosition="0">
        <references count="1">
          <reference field="4294967294" count="1" selected="0">
            <x v="0"/>
          </reference>
        </references>
      </pivotArea>
    </format>
    <format dxfId="3161">
      <pivotArea field="0" dataOnly="0" labelOnly="1" grandRow="1" outline="0" axis="axisRow" fieldPosition="0">
        <references count="1">
          <reference field="4294967294" count="1" selected="0">
            <x v="1"/>
          </reference>
        </references>
      </pivotArea>
    </format>
    <format dxfId="3160">
      <pivotArea field="0" dataOnly="0" labelOnly="1" grandRow="1" outline="0" axis="axisRow" fieldPosition="0">
        <references count="1">
          <reference field="4294967294" count="1" selected="0">
            <x v="3"/>
          </reference>
        </references>
      </pivotArea>
    </format>
    <format dxfId="3159">
      <pivotArea field="0" dataOnly="0" labelOnly="1" grandRow="1" outline="0" axis="axisRow" fieldPosition="0">
        <references count="1">
          <reference field="4294967294" count="1" selected="0">
            <x v="4"/>
          </reference>
        </references>
      </pivotArea>
    </format>
    <format dxfId="3158">
      <pivotArea field="0" dataOnly="0" labelOnly="1" grandRow="1" outline="0" axis="axisRow" fieldPosition="0">
        <references count="1">
          <reference field="4294967294" count="1" selected="0">
            <x v="5"/>
          </reference>
        </references>
      </pivotArea>
    </format>
    <format dxfId="3157">
      <pivotArea field="0" dataOnly="0" labelOnly="1" grandRow="1" outline="0" axis="axisRow" fieldPosition="0">
        <references count="1">
          <reference field="4294967294" count="1" selected="0">
            <x v="6"/>
          </reference>
        </references>
      </pivotArea>
    </format>
    <format dxfId="3156">
      <pivotArea field="0" dataOnly="0" labelOnly="1" grandRow="1" outline="0" axis="axisRow" fieldPosition="0">
        <references count="1">
          <reference field="4294967294" count="1" selected="0">
            <x v="7"/>
          </reference>
        </references>
      </pivotArea>
    </format>
    <format dxfId="3155">
      <pivotArea field="0" dataOnly="0" labelOnly="1" grandRow="1" outline="0" axis="axisRow" fieldPosition="0">
        <references count="1">
          <reference field="4294967294" count="1" selected="0">
            <x v="8"/>
          </reference>
        </references>
      </pivotArea>
    </format>
    <format dxfId="3154">
      <pivotArea field="0" dataOnly="0" labelOnly="1" grandRow="1" outline="0" axis="axisRow" fieldPosition="0">
        <references count="1">
          <reference field="4294967294" count="1" selected="0">
            <x v="9"/>
          </reference>
        </references>
      </pivotArea>
    </format>
    <format dxfId="3153">
      <pivotArea field="0" dataOnly="0" labelOnly="1" grandRow="1" outline="0" axis="axisRow" fieldPosition="0">
        <references count="1">
          <reference field="4294967294" count="1" selected="0">
            <x v="10"/>
          </reference>
        </references>
      </pivotArea>
    </format>
    <format dxfId="3152">
      <pivotArea field="0" dataOnly="0" labelOnly="1" grandRow="1" outline="0" axis="axisRow" fieldPosition="0">
        <references count="1">
          <reference field="4294967294" count="1" selected="0">
            <x v="11"/>
          </reference>
        </references>
      </pivotArea>
    </format>
    <format dxfId="3151">
      <pivotArea field="0" dataOnly="0" labelOnly="1" grandRow="1" outline="0" axis="axisRow" fieldPosition="0">
        <references count="1">
          <reference field="4294967294" count="1" selected="0">
            <x v="12"/>
          </reference>
        </references>
      </pivotArea>
    </format>
    <format dxfId="3150">
      <pivotArea field="0" dataOnly="0" labelOnly="1" grandRow="1" outline="0" axis="axisRow" fieldPosition="0">
        <references count="1">
          <reference field="4294967294" count="1" selected="0">
            <x v="13"/>
          </reference>
        </references>
      </pivotArea>
    </format>
    <format dxfId="3149">
      <pivotArea field="0" dataOnly="0" labelOnly="1" grandRow="1" outline="0" axis="axisRow" fieldPosition="0">
        <references count="1">
          <reference field="4294967294" count="1" selected="0">
            <x v="14"/>
          </reference>
        </references>
      </pivotArea>
    </format>
    <format dxfId="3148">
      <pivotArea field="0" dataOnly="0" labelOnly="1" grandRow="1" outline="0" axis="axisRow" fieldPosition="0">
        <references count="1">
          <reference field="4294967294" count="1" selected="0">
            <x v="15"/>
          </reference>
        </references>
      </pivotArea>
    </format>
    <format dxfId="3147">
      <pivotArea field="0" dataOnly="0" labelOnly="1" grandRow="1" outline="0" axis="axisRow" fieldPosition="0">
        <references count="1">
          <reference field="4294967294" count="1" selected="0">
            <x v="16"/>
          </reference>
        </references>
      </pivotArea>
    </format>
    <format dxfId="3146">
      <pivotArea field="0" dataOnly="0" labelOnly="1" grandRow="1" outline="0" axis="axisRow" fieldPosition="0">
        <references count="1">
          <reference field="4294967294" count="1" selected="0">
            <x v="17"/>
          </reference>
        </references>
      </pivotArea>
    </format>
    <format dxfId="3145">
      <pivotArea field="0" dataOnly="0" labelOnly="1" grandRow="1" outline="0" axis="axisRow" fieldPosition="0">
        <references count="1">
          <reference field="4294967294" count="1" selected="0">
            <x v="18"/>
          </reference>
        </references>
      </pivotArea>
    </format>
    <format dxfId="3144">
      <pivotArea field="0" dataOnly="0" labelOnly="1" grandRow="1" outline="0" axis="axisRow" fieldPosition="0">
        <references count="1">
          <reference field="4294967294" count="1" selected="0">
            <x v="19"/>
          </reference>
        </references>
      </pivotArea>
    </format>
    <format dxfId="3143">
      <pivotArea field="0" dataOnly="0" labelOnly="1" grandRow="1" outline="0" axis="axisRow" fieldPosition="0">
        <references count="1">
          <reference field="4294967294" count="1" selected="0">
            <x v="20"/>
          </reference>
        </references>
      </pivotArea>
    </format>
    <format dxfId="3142">
      <pivotArea field="0" dataOnly="0" labelOnly="1" grandRow="1" outline="0" axis="axisRow" fieldPosition="0">
        <references count="1">
          <reference field="4294967294" count="1" selected="0">
            <x v="21"/>
          </reference>
        </references>
      </pivotArea>
    </format>
    <format dxfId="3141">
      <pivotArea field="0" dataOnly="0" labelOnly="1" grandRow="1" outline="0" axis="axisRow" fieldPosition="0">
        <references count="1">
          <reference field="4294967294" count="1" selected="0">
            <x v="22"/>
          </reference>
        </references>
      </pivotArea>
    </format>
    <format dxfId="3140">
      <pivotArea field="0" dataOnly="0" labelOnly="1" grandRow="1" outline="0" axis="axisRow" fieldPosition="0">
        <references count="1">
          <reference field="4294967294" count="1" selected="0">
            <x v="23"/>
          </reference>
        </references>
      </pivotArea>
    </format>
    <format dxfId="3139">
      <pivotArea field="0" dataOnly="0" labelOnly="1" grandRow="1" outline="0" axis="axisRow" fieldPosition="0">
        <references count="1">
          <reference field="4294967294" count="1" selected="0">
            <x v="24"/>
          </reference>
        </references>
      </pivotArea>
    </format>
    <format dxfId="3138">
      <pivotArea field="0" dataOnly="0" labelOnly="1" grandRow="1" outline="0" axis="axisRow" fieldPosition="0">
        <references count="1">
          <reference field="4294967294" count="1" selected="0">
            <x v="25"/>
          </reference>
        </references>
      </pivotArea>
    </format>
    <format dxfId="3137">
      <pivotArea field="0" dataOnly="0" labelOnly="1" grandRow="1" outline="0" axis="axisRow" fieldPosition="0">
        <references count="1">
          <reference field="4294967294" count="1" selected="0">
            <x v="26"/>
          </reference>
        </references>
      </pivotArea>
    </format>
    <format dxfId="3136">
      <pivotArea field="0" dataOnly="0" labelOnly="1" grandRow="1" outline="0" axis="axisRow" fieldPosition="0">
        <references count="1">
          <reference field="4294967294" count="1" selected="0">
            <x v="27"/>
          </reference>
        </references>
      </pivotArea>
    </format>
    <format dxfId="3135">
      <pivotArea field="0" dataOnly="0" labelOnly="1" grandRow="1" outline="0" axis="axisRow" fieldPosition="0">
        <references count="1">
          <reference field="4294967294" count="1" selected="0">
            <x v="28"/>
          </reference>
        </references>
      </pivotArea>
    </format>
    <format dxfId="3134">
      <pivotArea field="0" dataOnly="0" labelOnly="1" grandRow="1" outline="0" axis="axisRow" fieldPosition="0">
        <references count="1">
          <reference field="4294967294" count="1" selected="0">
            <x v="29"/>
          </reference>
        </references>
      </pivotArea>
    </format>
    <format dxfId="3133">
      <pivotArea field="0" dataOnly="0" labelOnly="1" grandRow="1" outline="0" axis="axisRow" fieldPosition="0">
        <references count="1">
          <reference field="4294967294" count="1" selected="0">
            <x v="30"/>
          </reference>
        </references>
      </pivotArea>
    </format>
    <format dxfId="3132">
      <pivotArea field="0" dataOnly="0" labelOnly="1" grandRow="1" outline="0" axis="axisRow" fieldPosition="0">
        <references count="1">
          <reference field="4294967294" count="1" selected="0">
            <x v="31"/>
          </reference>
        </references>
      </pivotArea>
    </format>
    <format dxfId="3131">
      <pivotArea field="0" dataOnly="0" labelOnly="1" grandRow="1" outline="0" axis="axisRow" fieldPosition="0">
        <references count="1">
          <reference field="4294967294" count="1" selected="0">
            <x v="32"/>
          </reference>
        </references>
      </pivotArea>
    </format>
    <format dxfId="3130">
      <pivotArea field="0" dataOnly="0" labelOnly="1" grandRow="1" outline="0" axis="axisRow" fieldPosition="0">
        <references count="1">
          <reference field="4294967294" count="1" selected="0">
            <x v="33"/>
          </reference>
        </references>
      </pivotArea>
    </format>
    <format dxfId="3129">
      <pivotArea field="0" dataOnly="0" labelOnly="1" grandRow="1" outline="0" axis="axisRow" fieldPosition="0">
        <references count="1">
          <reference field="4294967294" count="1" selected="0">
            <x v="34"/>
          </reference>
        </references>
      </pivotArea>
    </format>
    <format dxfId="3128">
      <pivotArea field="0" dataOnly="0" labelOnly="1" grandRow="1" outline="0" axis="axisRow" fieldPosition="0">
        <references count="1">
          <reference field="4294967294" count="1" selected="0">
            <x v="35"/>
          </reference>
        </references>
      </pivotArea>
    </format>
    <format dxfId="3127">
      <pivotArea field="0" grandRow="1" outline="0" axis="axisRow" fieldPosition="0">
        <references count="1">
          <reference field="4294967294" count="1" selected="0">
            <x v="5"/>
          </reference>
        </references>
      </pivotArea>
    </format>
    <format dxfId="3126">
      <pivotArea field="0" grandRow="1" outline="0" axis="axisRow" fieldPosition="0">
        <references count="1">
          <reference field="4294967294" count="1" selected="0">
            <x v="8"/>
          </reference>
        </references>
      </pivotArea>
    </format>
    <format dxfId="3125">
      <pivotArea field="0" grandRow="1" outline="0" axis="axisRow" fieldPosition="0">
        <references count="1">
          <reference field="4294967294" count="1" selected="0">
            <x v="11"/>
          </reference>
        </references>
      </pivotArea>
    </format>
    <format dxfId="3124">
      <pivotArea field="0" grandRow="1" outline="0" axis="axisRow" fieldPosition="0">
        <references count="1">
          <reference field="4294967294" count="1" selected="0">
            <x v="14"/>
          </reference>
        </references>
      </pivotArea>
    </format>
    <format dxfId="3123">
      <pivotArea field="0" grandRow="1" outline="0" axis="axisRow" fieldPosition="0">
        <references count="1">
          <reference field="4294967294" count="1" selected="0">
            <x v="17"/>
          </reference>
        </references>
      </pivotArea>
    </format>
    <format dxfId="3122">
      <pivotArea field="0" grandRow="1" outline="0" axis="axisRow" fieldPosition="0">
        <references count="1">
          <reference field="4294967294" count="1" selected="0">
            <x v="20"/>
          </reference>
        </references>
      </pivotArea>
    </format>
    <format dxfId="3121">
      <pivotArea field="0" grandRow="1" outline="0" axis="axisRow" fieldPosition="0">
        <references count="1">
          <reference field="4294967294" count="1" selected="0">
            <x v="23"/>
          </reference>
        </references>
      </pivotArea>
    </format>
    <format dxfId="3120">
      <pivotArea field="0" grandRow="1" outline="0" axis="axisRow" fieldPosition="0">
        <references count="1">
          <reference field="4294967294" count="1" selected="0">
            <x v="26"/>
          </reference>
        </references>
      </pivotArea>
    </format>
    <format dxfId="3119">
      <pivotArea field="0" grandRow="1" outline="0" axis="axisRow" fieldPosition="0">
        <references count="1">
          <reference field="4294967294" count="1" selected="0">
            <x v="29"/>
          </reference>
        </references>
      </pivotArea>
    </format>
    <format dxfId="3118">
      <pivotArea field="0" grandRow="1" outline="0" axis="axisRow" fieldPosition="0">
        <references count="1">
          <reference field="4294967294" count="1" selected="0">
            <x v="32"/>
          </reference>
        </references>
      </pivotArea>
    </format>
    <format dxfId="3117">
      <pivotArea field="0" grandRow="1" outline="0" axis="axisRow" fieldPosition="0">
        <references count="1">
          <reference field="4294967294" count="1" selected="0">
            <x v="35"/>
          </reference>
        </references>
      </pivotArea>
    </format>
    <format dxfId="3116">
      <pivotArea field="4" type="button" dataOnly="0" labelOnly="1" outline="0" axis="axisCol" fieldPosition="1"/>
    </format>
    <format dxfId="3115">
      <pivotArea type="topRight" dataOnly="0" labelOnly="1" outline="0" fieldPosition="0"/>
    </format>
    <format dxfId="3114">
      <pivotArea type="topRight" dataOnly="0" labelOnly="1" outline="0" offset="O1" fieldPosition="0"/>
    </format>
    <format dxfId="3113">
      <pivotArea type="origin" dataOnly="0" labelOnly="1" outline="0" offset="A2:B2" fieldPosition="0"/>
    </format>
    <format dxfId="3112">
      <pivotArea field="0" dataOnly="0" labelOnly="1" grandRow="1" outline="0" axis="axisRow" fieldPosition="0">
        <references count="1">
          <reference field="4294967294" count="1" selected="0">
            <x v="0"/>
          </reference>
        </references>
      </pivotArea>
    </format>
    <format dxfId="3111">
      <pivotArea field="0" dataOnly="0" labelOnly="1" grandRow="1" outline="0" axis="axisRow" fieldPosition="0">
        <references count="1">
          <reference field="4294967294" count="1" selected="0">
            <x v="1"/>
          </reference>
        </references>
      </pivotArea>
    </format>
    <format dxfId="3110">
      <pivotArea field="0" dataOnly="0" labelOnly="1" grandRow="1" outline="0" axis="axisRow" fieldPosition="0">
        <references count="1">
          <reference field="4294967294" count="1" selected="0">
            <x v="3"/>
          </reference>
        </references>
      </pivotArea>
    </format>
    <format dxfId="3109">
      <pivotArea field="0" dataOnly="0" labelOnly="1" grandRow="1" outline="0" axis="axisRow" fieldPosition="0">
        <references count="1">
          <reference field="4294967294" count="1" selected="0">
            <x v="4"/>
          </reference>
        </references>
      </pivotArea>
    </format>
    <format dxfId="3108">
      <pivotArea field="0" dataOnly="0" labelOnly="1" grandRow="1" outline="0" axis="axisRow" fieldPosition="0">
        <references count="1">
          <reference field="4294967294" count="1" selected="0">
            <x v="5"/>
          </reference>
        </references>
      </pivotArea>
    </format>
    <format dxfId="3107">
      <pivotArea field="0" dataOnly="0" labelOnly="1" grandRow="1" outline="0" axis="axisRow" fieldPosition="0">
        <references count="1">
          <reference field="4294967294" count="1" selected="0">
            <x v="6"/>
          </reference>
        </references>
      </pivotArea>
    </format>
    <format dxfId="3106">
      <pivotArea field="0" dataOnly="0" labelOnly="1" grandRow="1" outline="0" axis="axisRow" fieldPosition="0">
        <references count="1">
          <reference field="4294967294" count="1" selected="0">
            <x v="7"/>
          </reference>
        </references>
      </pivotArea>
    </format>
    <format dxfId="3105">
      <pivotArea field="0" dataOnly="0" labelOnly="1" grandRow="1" outline="0" axis="axisRow" fieldPosition="0">
        <references count="1">
          <reference field="4294967294" count="1" selected="0">
            <x v="8"/>
          </reference>
        </references>
      </pivotArea>
    </format>
    <format dxfId="3104">
      <pivotArea field="0" dataOnly="0" labelOnly="1" grandRow="1" outline="0" axis="axisRow" fieldPosition="0">
        <references count="1">
          <reference field="4294967294" count="1" selected="0">
            <x v="9"/>
          </reference>
        </references>
      </pivotArea>
    </format>
    <format dxfId="3103">
      <pivotArea field="0" dataOnly="0" labelOnly="1" grandRow="1" outline="0" axis="axisRow" fieldPosition="0">
        <references count="1">
          <reference field="4294967294" count="1" selected="0">
            <x v="10"/>
          </reference>
        </references>
      </pivotArea>
    </format>
    <format dxfId="3102">
      <pivotArea field="0" dataOnly="0" labelOnly="1" grandRow="1" outline="0" axis="axisRow" fieldPosition="0">
        <references count="1">
          <reference field="4294967294" count="1" selected="0">
            <x v="11"/>
          </reference>
        </references>
      </pivotArea>
    </format>
    <format dxfId="3101">
      <pivotArea field="0" dataOnly="0" labelOnly="1" grandRow="1" outline="0" axis="axisRow" fieldPosition="0">
        <references count="1">
          <reference field="4294967294" count="1" selected="0">
            <x v="12"/>
          </reference>
        </references>
      </pivotArea>
    </format>
    <format dxfId="3100">
      <pivotArea field="0" dataOnly="0" labelOnly="1" grandRow="1" outline="0" axis="axisRow" fieldPosition="0">
        <references count="1">
          <reference field="4294967294" count="1" selected="0">
            <x v="13"/>
          </reference>
        </references>
      </pivotArea>
    </format>
    <format dxfId="3099">
      <pivotArea field="0" dataOnly="0" labelOnly="1" grandRow="1" outline="0" axis="axisRow" fieldPosition="0">
        <references count="1">
          <reference field="4294967294" count="1" selected="0">
            <x v="14"/>
          </reference>
        </references>
      </pivotArea>
    </format>
    <format dxfId="3098">
      <pivotArea field="0" dataOnly="0" labelOnly="1" grandRow="1" outline="0" axis="axisRow" fieldPosition="0">
        <references count="1">
          <reference field="4294967294" count="1" selected="0">
            <x v="15"/>
          </reference>
        </references>
      </pivotArea>
    </format>
    <format dxfId="3097">
      <pivotArea field="0" dataOnly="0" labelOnly="1" grandRow="1" outline="0" axis="axisRow" fieldPosition="0">
        <references count="1">
          <reference field="4294967294" count="1" selected="0">
            <x v="16"/>
          </reference>
        </references>
      </pivotArea>
    </format>
    <format dxfId="3096">
      <pivotArea field="0" dataOnly="0" labelOnly="1" grandRow="1" outline="0" axis="axisRow" fieldPosition="0">
        <references count="1">
          <reference field="4294967294" count="1" selected="0">
            <x v="17"/>
          </reference>
        </references>
      </pivotArea>
    </format>
    <format dxfId="3095">
      <pivotArea field="0" dataOnly="0" labelOnly="1" grandRow="1" outline="0" axis="axisRow" fieldPosition="0">
        <references count="1">
          <reference field="4294967294" count="1" selected="0">
            <x v="18"/>
          </reference>
        </references>
      </pivotArea>
    </format>
    <format dxfId="3094">
      <pivotArea field="0" dataOnly="0" labelOnly="1" grandRow="1" outline="0" axis="axisRow" fieldPosition="0">
        <references count="1">
          <reference field="4294967294" count="1" selected="0">
            <x v="19"/>
          </reference>
        </references>
      </pivotArea>
    </format>
    <format dxfId="3093">
      <pivotArea field="0" dataOnly="0" labelOnly="1" grandRow="1" outline="0" axis="axisRow" fieldPosition="0">
        <references count="1">
          <reference field="4294967294" count="1" selected="0">
            <x v="20"/>
          </reference>
        </references>
      </pivotArea>
    </format>
    <format dxfId="3092">
      <pivotArea field="0" dataOnly="0" labelOnly="1" grandRow="1" outline="0" axis="axisRow" fieldPosition="0">
        <references count="1">
          <reference field="4294967294" count="1" selected="0">
            <x v="21"/>
          </reference>
        </references>
      </pivotArea>
    </format>
    <format dxfId="3091">
      <pivotArea field="0" dataOnly="0" labelOnly="1" grandRow="1" outline="0" axis="axisRow" fieldPosition="0">
        <references count="1">
          <reference field="4294967294" count="1" selected="0">
            <x v="22"/>
          </reference>
        </references>
      </pivotArea>
    </format>
    <format dxfId="3090">
      <pivotArea field="0" dataOnly="0" labelOnly="1" grandRow="1" outline="0" axis="axisRow" fieldPosition="0">
        <references count="1">
          <reference field="4294967294" count="1" selected="0">
            <x v="23"/>
          </reference>
        </references>
      </pivotArea>
    </format>
    <format dxfId="3089">
      <pivotArea field="0" dataOnly="0" labelOnly="1" grandRow="1" outline="0" axis="axisRow" fieldPosition="0">
        <references count="1">
          <reference field="4294967294" count="1" selected="0">
            <x v="24"/>
          </reference>
        </references>
      </pivotArea>
    </format>
    <format dxfId="3088">
      <pivotArea field="0" dataOnly="0" labelOnly="1" grandRow="1" outline="0" axis="axisRow" fieldPosition="0">
        <references count="1">
          <reference field="4294967294" count="1" selected="0">
            <x v="25"/>
          </reference>
        </references>
      </pivotArea>
    </format>
    <format dxfId="3087">
      <pivotArea field="0" dataOnly="0" labelOnly="1" grandRow="1" outline="0" axis="axisRow" fieldPosition="0">
        <references count="1">
          <reference field="4294967294" count="1" selected="0">
            <x v="26"/>
          </reference>
        </references>
      </pivotArea>
    </format>
    <format dxfId="3086">
      <pivotArea field="0" dataOnly="0" labelOnly="1" grandRow="1" outline="0" axis="axisRow" fieldPosition="0">
        <references count="1">
          <reference field="4294967294" count="1" selected="0">
            <x v="27"/>
          </reference>
        </references>
      </pivotArea>
    </format>
    <format dxfId="3085">
      <pivotArea field="0" dataOnly="0" labelOnly="1" grandRow="1" outline="0" axis="axisRow" fieldPosition="0">
        <references count="1">
          <reference field="4294967294" count="1" selected="0">
            <x v="28"/>
          </reference>
        </references>
      </pivotArea>
    </format>
    <format dxfId="3084">
      <pivotArea field="0" dataOnly="0" labelOnly="1" grandRow="1" outline="0" axis="axisRow" fieldPosition="0">
        <references count="1">
          <reference field="4294967294" count="1" selected="0">
            <x v="29"/>
          </reference>
        </references>
      </pivotArea>
    </format>
    <format dxfId="3083">
      <pivotArea field="0" dataOnly="0" labelOnly="1" grandRow="1" outline="0" axis="axisRow" fieldPosition="0">
        <references count="1">
          <reference field="4294967294" count="1" selected="0">
            <x v="30"/>
          </reference>
        </references>
      </pivotArea>
    </format>
    <format dxfId="3082">
      <pivotArea field="0" dataOnly="0" labelOnly="1" grandRow="1" outline="0" axis="axisRow" fieldPosition="0">
        <references count="1">
          <reference field="4294967294" count="1" selected="0">
            <x v="31"/>
          </reference>
        </references>
      </pivotArea>
    </format>
    <format dxfId="3081">
      <pivotArea field="0" dataOnly="0" labelOnly="1" grandRow="1" outline="0" axis="axisRow" fieldPosition="0">
        <references count="1">
          <reference field="4294967294" count="1" selected="0">
            <x v="32"/>
          </reference>
        </references>
      </pivotArea>
    </format>
    <format dxfId="3080">
      <pivotArea field="0" dataOnly="0" labelOnly="1" grandRow="1" outline="0" axis="axisRow" fieldPosition="0">
        <references count="1">
          <reference field="4294967294" count="1" selected="0">
            <x v="33"/>
          </reference>
        </references>
      </pivotArea>
    </format>
    <format dxfId="3079">
      <pivotArea field="0" dataOnly="0" labelOnly="1" grandRow="1" outline="0" axis="axisRow" fieldPosition="0">
        <references count="1">
          <reference field="4294967294" count="1" selected="0">
            <x v="34"/>
          </reference>
        </references>
      </pivotArea>
    </format>
    <format dxfId="3078">
      <pivotArea field="0" dataOnly="0" labelOnly="1" grandRow="1" outline="0" axis="axisRow" fieldPosition="0">
        <references count="1">
          <reference field="4294967294" count="1" selected="0">
            <x v="35"/>
          </reference>
        </references>
      </pivotArea>
    </format>
    <format dxfId="3077">
      <pivotArea field="0" grandRow="1" outline="0" axis="axisRow" fieldPosition="0">
        <references count="1">
          <reference field="4294967294" count="1" selected="0">
            <x v="35"/>
          </reference>
        </references>
      </pivotArea>
    </format>
    <format dxfId="3076">
      <pivotArea field="0" dataOnly="0" labelOnly="1" grandRow="1" outline="0" offset="IV256" axis="axisRow" fieldPosition="0">
        <references count="1">
          <reference field="4294967294" count="1" selected="0">
            <x v="0"/>
          </reference>
        </references>
      </pivotArea>
    </format>
    <format dxfId="3075">
      <pivotArea field="0" dataOnly="0" labelOnly="1" grandRow="1" outline="0" offset="IV256" axis="axisRow" fieldPosition="0">
        <references count="1">
          <reference field="4294967294" count="1" selected="0">
            <x v="1"/>
          </reference>
        </references>
      </pivotArea>
    </format>
    <format dxfId="3074">
      <pivotArea field="0" dataOnly="0" labelOnly="1" grandRow="1" outline="0" offset="IV256" axis="axisRow" fieldPosition="0">
        <references count="1">
          <reference field="4294967294" count="1" selected="0">
            <x v="3"/>
          </reference>
        </references>
      </pivotArea>
    </format>
    <format dxfId="3073">
      <pivotArea field="0" dataOnly="0" labelOnly="1" grandRow="1" outline="0" offset="IV256" axis="axisRow" fieldPosition="0">
        <references count="1">
          <reference field="4294967294" count="1" selected="0">
            <x v="4"/>
          </reference>
        </references>
      </pivotArea>
    </format>
    <format dxfId="3072">
      <pivotArea field="0" dataOnly="0" labelOnly="1" grandRow="1" outline="0" offset="IV256" axis="axisRow" fieldPosition="0">
        <references count="1">
          <reference field="4294967294" count="1" selected="0">
            <x v="5"/>
          </reference>
        </references>
      </pivotArea>
    </format>
    <format dxfId="3071">
      <pivotArea field="0" dataOnly="0" labelOnly="1" grandRow="1" outline="0" offset="IV256" axis="axisRow" fieldPosition="0">
        <references count="1">
          <reference field="4294967294" count="1" selected="0">
            <x v="6"/>
          </reference>
        </references>
      </pivotArea>
    </format>
    <format dxfId="3070">
      <pivotArea field="0" dataOnly="0" labelOnly="1" grandRow="1" outline="0" offset="IV256" axis="axisRow" fieldPosition="0">
        <references count="1">
          <reference field="4294967294" count="1" selected="0">
            <x v="7"/>
          </reference>
        </references>
      </pivotArea>
    </format>
    <format dxfId="3069">
      <pivotArea field="0" dataOnly="0" labelOnly="1" grandRow="1" outline="0" offset="IV256" axis="axisRow" fieldPosition="0">
        <references count="1">
          <reference field="4294967294" count="1" selected="0">
            <x v="8"/>
          </reference>
        </references>
      </pivotArea>
    </format>
    <format dxfId="3068">
      <pivotArea field="0" dataOnly="0" labelOnly="1" grandRow="1" outline="0" offset="IV256" axis="axisRow" fieldPosition="0">
        <references count="1">
          <reference field="4294967294" count="1" selected="0">
            <x v="9"/>
          </reference>
        </references>
      </pivotArea>
    </format>
    <format dxfId="3067">
      <pivotArea field="0" dataOnly="0" labelOnly="1" grandRow="1" outline="0" offset="IV256" axis="axisRow" fieldPosition="0">
        <references count="1">
          <reference field="4294967294" count="1" selected="0">
            <x v="10"/>
          </reference>
        </references>
      </pivotArea>
    </format>
    <format dxfId="3066">
      <pivotArea field="0" dataOnly="0" labelOnly="1" grandRow="1" outline="0" offset="IV256" axis="axisRow" fieldPosition="0">
        <references count="1">
          <reference field="4294967294" count="1" selected="0">
            <x v="11"/>
          </reference>
        </references>
      </pivotArea>
    </format>
    <format dxfId="3065">
      <pivotArea field="0" dataOnly="0" labelOnly="1" grandRow="1" outline="0" offset="IV256" axis="axisRow" fieldPosition="0">
        <references count="1">
          <reference field="4294967294" count="1" selected="0">
            <x v="12"/>
          </reference>
        </references>
      </pivotArea>
    </format>
    <format dxfId="3064">
      <pivotArea field="0" dataOnly="0" labelOnly="1" grandRow="1" outline="0" offset="IV256" axis="axisRow" fieldPosition="0">
        <references count="1">
          <reference field="4294967294" count="1" selected="0">
            <x v="13"/>
          </reference>
        </references>
      </pivotArea>
    </format>
    <format dxfId="3063">
      <pivotArea field="0" dataOnly="0" labelOnly="1" grandRow="1" outline="0" offset="IV256" axis="axisRow" fieldPosition="0">
        <references count="1">
          <reference field="4294967294" count="1" selected="0">
            <x v="14"/>
          </reference>
        </references>
      </pivotArea>
    </format>
    <format dxfId="3062">
      <pivotArea field="0" dataOnly="0" labelOnly="1" grandRow="1" outline="0" offset="IV256" axis="axisRow" fieldPosition="0">
        <references count="1">
          <reference field="4294967294" count="1" selected="0">
            <x v="15"/>
          </reference>
        </references>
      </pivotArea>
    </format>
    <format dxfId="3061">
      <pivotArea field="0" dataOnly="0" labelOnly="1" grandRow="1" outline="0" offset="IV256" axis="axisRow" fieldPosition="0">
        <references count="1">
          <reference field="4294967294" count="1" selected="0">
            <x v="16"/>
          </reference>
        </references>
      </pivotArea>
    </format>
    <format dxfId="3060">
      <pivotArea field="0" dataOnly="0" labelOnly="1" grandRow="1" outline="0" offset="IV256" axis="axisRow" fieldPosition="0">
        <references count="1">
          <reference field="4294967294" count="1" selected="0">
            <x v="17"/>
          </reference>
        </references>
      </pivotArea>
    </format>
    <format dxfId="3059">
      <pivotArea field="0" dataOnly="0" labelOnly="1" grandRow="1" outline="0" offset="IV256" axis="axisRow" fieldPosition="0">
        <references count="1">
          <reference field="4294967294" count="1" selected="0">
            <x v="18"/>
          </reference>
        </references>
      </pivotArea>
    </format>
    <format dxfId="3058">
      <pivotArea field="0" dataOnly="0" labelOnly="1" grandRow="1" outline="0" offset="IV256" axis="axisRow" fieldPosition="0">
        <references count="1">
          <reference field="4294967294" count="1" selected="0">
            <x v="19"/>
          </reference>
        </references>
      </pivotArea>
    </format>
    <format dxfId="3057">
      <pivotArea field="0" dataOnly="0" labelOnly="1" grandRow="1" outline="0" offset="IV256" axis="axisRow" fieldPosition="0">
        <references count="1">
          <reference field="4294967294" count="1" selected="0">
            <x v="20"/>
          </reference>
        </references>
      </pivotArea>
    </format>
    <format dxfId="3056">
      <pivotArea field="0" dataOnly="0" labelOnly="1" grandRow="1" outline="0" offset="IV256" axis="axisRow" fieldPosition="0">
        <references count="1">
          <reference field="4294967294" count="1" selected="0">
            <x v="21"/>
          </reference>
        </references>
      </pivotArea>
    </format>
    <format dxfId="3055">
      <pivotArea field="0" dataOnly="0" labelOnly="1" grandRow="1" outline="0" offset="IV256" axis="axisRow" fieldPosition="0">
        <references count="1">
          <reference field="4294967294" count="1" selected="0">
            <x v="22"/>
          </reference>
        </references>
      </pivotArea>
    </format>
    <format dxfId="3054">
      <pivotArea field="0" dataOnly="0" labelOnly="1" grandRow="1" outline="0" offset="IV256" axis="axisRow" fieldPosition="0">
        <references count="1">
          <reference field="4294967294" count="1" selected="0">
            <x v="23"/>
          </reference>
        </references>
      </pivotArea>
    </format>
    <format dxfId="3053">
      <pivotArea field="0" dataOnly="0" labelOnly="1" grandRow="1" outline="0" offset="IV256" axis="axisRow" fieldPosition="0">
        <references count="1">
          <reference field="4294967294" count="1" selected="0">
            <x v="24"/>
          </reference>
        </references>
      </pivotArea>
    </format>
    <format dxfId="3052">
      <pivotArea field="0" dataOnly="0" labelOnly="1" grandRow="1" outline="0" offset="IV256" axis="axisRow" fieldPosition="0">
        <references count="1">
          <reference field="4294967294" count="1" selected="0">
            <x v="25"/>
          </reference>
        </references>
      </pivotArea>
    </format>
    <format dxfId="3051">
      <pivotArea field="0" dataOnly="0" labelOnly="1" grandRow="1" outline="0" offset="IV256" axis="axisRow" fieldPosition="0">
        <references count="1">
          <reference field="4294967294" count="1" selected="0">
            <x v="26"/>
          </reference>
        </references>
      </pivotArea>
    </format>
    <format dxfId="3050">
      <pivotArea field="0" dataOnly="0" labelOnly="1" grandRow="1" outline="0" offset="IV256" axis="axisRow" fieldPosition="0">
        <references count="1">
          <reference field="4294967294" count="1" selected="0">
            <x v="27"/>
          </reference>
        </references>
      </pivotArea>
    </format>
    <format dxfId="3049">
      <pivotArea field="0" dataOnly="0" labelOnly="1" grandRow="1" outline="0" offset="IV256" axis="axisRow" fieldPosition="0">
        <references count="1">
          <reference field="4294967294" count="1" selected="0">
            <x v="28"/>
          </reference>
        </references>
      </pivotArea>
    </format>
    <format dxfId="3048">
      <pivotArea field="0" dataOnly="0" labelOnly="1" grandRow="1" outline="0" offset="IV256" axis="axisRow" fieldPosition="0">
        <references count="1">
          <reference field="4294967294" count="1" selected="0">
            <x v="29"/>
          </reference>
        </references>
      </pivotArea>
    </format>
    <format dxfId="3047">
      <pivotArea field="0" dataOnly="0" labelOnly="1" grandRow="1" outline="0" offset="IV256" axis="axisRow" fieldPosition="0">
        <references count="1">
          <reference field="4294967294" count="1" selected="0">
            <x v="30"/>
          </reference>
        </references>
      </pivotArea>
    </format>
    <format dxfId="3046">
      <pivotArea field="0" dataOnly="0" labelOnly="1" grandRow="1" outline="0" offset="IV256" axis="axisRow" fieldPosition="0">
        <references count="1">
          <reference field="4294967294" count="1" selected="0">
            <x v="31"/>
          </reference>
        </references>
      </pivotArea>
    </format>
    <format dxfId="3045">
      <pivotArea field="0" dataOnly="0" labelOnly="1" grandRow="1" outline="0" offset="IV256" axis="axisRow" fieldPosition="0">
        <references count="1">
          <reference field="4294967294" count="1" selected="0">
            <x v="32"/>
          </reference>
        </references>
      </pivotArea>
    </format>
    <format dxfId="3044">
      <pivotArea field="0" dataOnly="0" labelOnly="1" grandRow="1" outline="0" offset="IV256" axis="axisRow" fieldPosition="0">
        <references count="1">
          <reference field="4294967294" count="1" selected="0">
            <x v="33"/>
          </reference>
        </references>
      </pivotArea>
    </format>
    <format dxfId="3043">
      <pivotArea field="0" dataOnly="0" labelOnly="1" grandRow="1" outline="0" offset="IV256" axis="axisRow" fieldPosition="0">
        <references count="1">
          <reference field="4294967294" count="1" selected="0">
            <x v="34"/>
          </reference>
        </references>
      </pivotArea>
    </format>
    <format dxfId="3042">
      <pivotArea field="0" dataOnly="0" labelOnly="1" grandRow="1" outline="0" offset="IV256" axis="axisRow" fieldPosition="0">
        <references count="1">
          <reference field="4294967294" count="1" selected="0">
            <x v="35"/>
          </reference>
        </references>
      </pivotArea>
    </format>
    <format dxfId="3041">
      <pivotArea type="all" dataOnly="0" outline="0" fieldPosition="0"/>
    </format>
    <format dxfId="3040">
      <pivotArea type="all" dataOnly="0" outline="0" fieldPosition="0"/>
    </format>
    <format dxfId="3039">
      <pivotArea outline="0" fieldPosition="0">
        <references count="2">
          <reference field="4" count="1" selected="0">
            <x v="8"/>
          </reference>
          <reference field="70" count="1" selected="0">
            <x v="1"/>
          </reference>
        </references>
      </pivotArea>
    </format>
    <format dxfId="3038">
      <pivotArea dataOnly="0" labelOnly="1" outline="0" offset="B256" fieldPosition="0">
        <references count="1">
          <reference field="70" count="1">
            <x v="1"/>
          </reference>
        </references>
      </pivotArea>
    </format>
    <format dxfId="3037">
      <pivotArea dataOnly="0" labelOnly="1" outline="0" fieldPosition="0">
        <references count="2">
          <reference field="4" count="1">
            <x v="8"/>
          </reference>
          <reference field="70" count="1" selected="0">
            <x v="1"/>
          </reference>
        </references>
      </pivotArea>
    </format>
    <format dxfId="3036">
      <pivotArea outline="0" fieldPosition="0">
        <references count="2">
          <reference field="4" count="1" selected="0">
            <x v="7"/>
          </reference>
          <reference field="70" count="1" selected="0">
            <x v="1"/>
          </reference>
        </references>
      </pivotArea>
    </format>
    <format dxfId="3035">
      <pivotArea dataOnly="0" labelOnly="1" outline="0" fieldPosition="0">
        <references count="2">
          <reference field="4" count="1">
            <x v="7"/>
          </reference>
          <reference field="70" count="1" selected="0">
            <x v="1"/>
          </reference>
        </references>
      </pivotArea>
    </format>
    <format dxfId="3034">
      <pivotArea dataOnly="0" labelOnly="1" outline="0" offset="A256" fieldPosition="0">
        <references count="1">
          <reference field="70" count="1">
            <x v="1"/>
          </reference>
        </references>
      </pivotArea>
    </format>
    <format dxfId="3033">
      <pivotArea outline="0" fieldPosition="0">
        <references count="2">
          <reference field="4" count="1" selected="0">
            <x v="11"/>
          </reference>
          <reference field="70" count="1" selected="0">
            <x v="2"/>
          </reference>
        </references>
      </pivotArea>
    </format>
    <format dxfId="3032">
      <pivotArea dataOnly="0" labelOnly="1" outline="0" fieldPosition="0">
        <references count="2">
          <reference field="4" count="1">
            <x v="11"/>
          </reference>
          <reference field="70" count="1" selected="0">
            <x v="2"/>
          </reference>
        </references>
      </pivotArea>
    </format>
    <format dxfId="3031">
      <pivotArea outline="0" fieldPosition="0">
        <references count="2">
          <reference field="4294967294" count="1" selected="0">
            <x v="35"/>
          </reference>
          <reference field="0" count="1" selected="0">
            <x v="0"/>
          </reference>
        </references>
      </pivotArea>
    </format>
    <format dxfId="3030">
      <pivotArea dataOnly="0" labelOnly="1" outline="0" offset="IV256" fieldPosition="0">
        <references count="1">
          <reference field="0" count="1">
            <x v="0"/>
          </reference>
        </references>
      </pivotArea>
    </format>
    <format dxfId="3029">
      <pivotArea dataOnly="0" labelOnly="1" outline="0" fieldPosition="0">
        <references count="2">
          <reference field="4294967294" count="1">
            <x v="35"/>
          </reference>
          <reference field="0" count="1" selected="0">
            <x v="0"/>
          </reference>
        </references>
      </pivotArea>
    </format>
    <format dxfId="3028">
      <pivotArea outline="0" fieldPosition="0">
        <references count="1">
          <reference field="70" count="3" selected="0" defaultSubtotal="1">
            <x v="0"/>
            <x v="1"/>
            <x v="2"/>
          </reference>
        </references>
      </pivotArea>
    </format>
    <format dxfId="3027">
      <pivotArea dataOnly="0" labelOnly="1" outline="0" offset="IV256" fieldPosition="0">
        <references count="1">
          <reference field="70" count="1" defaultSubtotal="1">
            <x v="0"/>
          </reference>
        </references>
      </pivotArea>
    </format>
    <format dxfId="3026">
      <pivotArea dataOnly="0" labelOnly="1" outline="0" offset="IV256" fieldPosition="0">
        <references count="1">
          <reference field="70" count="1" defaultSubtotal="1">
            <x v="1"/>
          </reference>
        </references>
      </pivotArea>
    </format>
    <format dxfId="3025">
      <pivotArea dataOnly="0" labelOnly="1" outline="0" offset="IV256" fieldPosition="0">
        <references count="1">
          <reference field="70" count="1" defaultSubtotal="1">
            <x v="2"/>
          </reference>
        </references>
      </pivotArea>
    </format>
    <format dxfId="3024">
      <pivotArea dataOnly="0" labelOnly="1" outline="0" fieldPosition="0">
        <references count="2">
          <reference field="4" count="7">
            <x v="0"/>
            <x v="1"/>
            <x v="2"/>
            <x v="3"/>
            <x v="4"/>
            <x v="5"/>
            <x v="6"/>
          </reference>
          <reference field="70" count="1" selected="0">
            <x v="0"/>
          </reference>
        </references>
      </pivotArea>
    </format>
    <format dxfId="3023">
      <pivotArea dataOnly="0" labelOnly="1" outline="0" fieldPosition="0">
        <references count="2">
          <reference field="4" count="4">
            <x v="7"/>
            <x v="8"/>
            <x v="9"/>
            <x v="10"/>
          </reference>
          <reference field="70" count="1" selected="0">
            <x v="1"/>
          </reference>
        </references>
      </pivotArea>
    </format>
    <format dxfId="3022">
      <pivotArea dataOnly="0" labelOnly="1" outline="0" fieldPosition="0">
        <references count="2">
          <reference field="4" count="2">
            <x v="11"/>
            <x v="12"/>
          </reference>
          <reference field="70" count="1" selected="0">
            <x v="2"/>
          </reference>
        </references>
      </pivotArea>
    </format>
    <format dxfId="3021">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3020">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3019">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3018">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3017">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3016">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3015">
      <pivotArea outline="0" fieldPosition="0">
        <references count="4">
          <reference field="4294967294" count="1" selected="0">
            <x v="20"/>
          </reference>
          <reference field="0" count="1" selected="0">
            <x v="3"/>
          </reference>
          <reference field="4" count="2" selected="0">
            <x v="0"/>
            <x v="1"/>
          </reference>
          <reference field="70" count="1" selected="0">
            <x v="0"/>
          </reference>
        </references>
      </pivotArea>
    </format>
    <format dxfId="3014">
      <pivotArea outline="0" fieldPosition="0">
        <references count="4">
          <reference field="4294967294" count="1" selected="0">
            <x v="26"/>
          </reference>
          <reference field="0" count="1" selected="0">
            <x v="3"/>
          </reference>
          <reference field="4" count="2" selected="0">
            <x v="0"/>
            <x v="1"/>
          </reference>
          <reference field="70" count="1" selected="0">
            <x v="0"/>
          </reference>
        </references>
      </pivotArea>
    </format>
    <format dxfId="3013">
      <pivotArea outline="0" fieldPosition="0">
        <references count="4">
          <reference field="4294967294" count="1" selected="0">
            <x v="32"/>
          </reference>
          <reference field="0" count="1" selected="0">
            <x v="3"/>
          </reference>
          <reference field="4" count="1" selected="0">
            <x v="2"/>
          </reference>
          <reference field="70" count="1" selected="0">
            <x v="0"/>
          </reference>
        </references>
      </pivotArea>
    </format>
    <format dxfId="3012">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3011">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3010">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3009">
      <pivotArea outline="0" fieldPosition="0">
        <references count="4">
          <reference field="4294967294" count="1" selected="0">
            <x v="20"/>
          </reference>
          <reference field="0" count="1" selected="0">
            <x v="10"/>
          </reference>
          <reference field="4" count="1" selected="0">
            <x v="4"/>
          </reference>
          <reference field="70" count="1" selected="0">
            <x v="0"/>
          </reference>
        </references>
      </pivotArea>
    </format>
    <format dxfId="3008">
      <pivotArea outline="0" fieldPosition="0">
        <references count="4">
          <reference field="4294967294" count="1" selected="0">
            <x v="29"/>
          </reference>
          <reference field="0" count="1" selected="0">
            <x v="10"/>
          </reference>
          <reference field="4" count="1" selected="0">
            <x v="4"/>
          </reference>
          <reference field="70" count="1" selected="0">
            <x v="0"/>
          </reference>
        </references>
      </pivotArea>
    </format>
    <format dxfId="3007">
      <pivotArea outline="0" fieldPosition="0">
        <references count="4">
          <reference field="4294967294" count="1" selected="0">
            <x v="26"/>
          </reference>
          <reference field="0" count="1" selected="0">
            <x v="11"/>
          </reference>
          <reference field="4" count="1" selected="0">
            <x v="4"/>
          </reference>
          <reference field="70" count="1" selected="0">
            <x v="0"/>
          </reference>
        </references>
      </pivotArea>
    </format>
    <format dxfId="3006">
      <pivotArea outline="0" fieldPosition="0">
        <references count="4">
          <reference field="4294967294" count="1" selected="0">
            <x v="20"/>
          </reference>
          <reference field="0" count="1" selected="0">
            <x v="11"/>
          </reference>
          <reference field="4" count="1" selected="0">
            <x v="4"/>
          </reference>
          <reference field="70" count="1" selected="0">
            <x v="0"/>
          </reference>
        </references>
      </pivotArea>
    </format>
    <format dxfId="3005">
      <pivotArea outline="0" fieldPosition="0">
        <references count="4">
          <reference field="4294967294" count="1" selected="0">
            <x v="26"/>
          </reference>
          <reference field="0" count="1" selected="0">
            <x v="12"/>
          </reference>
          <reference field="4" count="1" selected="0">
            <x v="2"/>
          </reference>
          <reference field="70" count="1" selected="0">
            <x v="0"/>
          </reference>
        </references>
      </pivotArea>
    </format>
    <format dxfId="3004">
      <pivotArea outline="0" fieldPosition="0">
        <references count="4">
          <reference field="4294967294" count="1" selected="0">
            <x v="20"/>
          </reference>
          <reference field="0" count="1" selected="0">
            <x v="13"/>
          </reference>
          <reference field="4" count="1" selected="0">
            <x v="5"/>
          </reference>
          <reference field="70" count="1" selected="0">
            <x v="0"/>
          </reference>
        </references>
      </pivotArea>
    </format>
    <format dxfId="3003">
      <pivotArea outline="0" fieldPosition="0">
        <references count="4">
          <reference field="4294967294" count="1" selected="0">
            <x v="26"/>
          </reference>
          <reference field="0" count="1" selected="0">
            <x v="13"/>
          </reference>
          <reference field="4" count="1" selected="0">
            <x v="5"/>
          </reference>
          <reference field="70" count="1" selected="0">
            <x v="0"/>
          </reference>
        </references>
      </pivotArea>
    </format>
    <format dxfId="3002">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3001">
      <pivotArea outline="0" fieldPosition="0">
        <references count="4">
          <reference field="4294967294" count="1" selected="0">
            <x v="11"/>
          </reference>
          <reference field="0" count="1" selected="0">
            <x v="14"/>
          </reference>
          <reference field="4" count="1" selected="0">
            <x v="5"/>
          </reference>
          <reference field="70" count="1" selected="0">
            <x v="0"/>
          </reference>
        </references>
      </pivotArea>
    </format>
    <format dxfId="3000">
      <pivotArea outline="0" fieldPosition="0">
        <references count="4">
          <reference field="4294967294" count="1" selected="0">
            <x v="23"/>
          </reference>
          <reference field="0" count="1" selected="0">
            <x v="15"/>
          </reference>
          <reference field="4" count="1" selected="0">
            <x v="5"/>
          </reference>
          <reference field="70" count="1" selected="0">
            <x v="0"/>
          </reference>
        </references>
      </pivotArea>
    </format>
    <format dxfId="2999">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2998">
      <pivotArea outline="0" fieldPosition="0">
        <references count="4">
          <reference field="4294967294" count="1" selected="0">
            <x v="5"/>
          </reference>
          <reference field="0" count="1" selected="0">
            <x v="1"/>
          </reference>
          <reference field="4" count="1" selected="0">
            <x v="8"/>
          </reference>
          <reference field="70" count="1" selected="0">
            <x v="1"/>
          </reference>
        </references>
      </pivotArea>
    </format>
    <format dxfId="2997">
      <pivotArea outline="0" fieldPosition="0">
        <references count="4">
          <reference field="4294967294" count="1" selected="0">
            <x v="2"/>
          </reference>
          <reference field="0" count="1" selected="0">
            <x v="1"/>
          </reference>
          <reference field="4" count="1" selected="0">
            <x v="8"/>
          </reference>
          <reference field="70" count="1" selected="0">
            <x v="1"/>
          </reference>
        </references>
      </pivotArea>
    </format>
    <format dxfId="2996">
      <pivotArea outline="0" fieldPosition="0">
        <references count="4">
          <reference field="4294967294" count="1" selected="0">
            <x v="2"/>
          </reference>
          <reference field="0" count="1" selected="0">
            <x v="2"/>
          </reference>
          <reference field="4" count="1" selected="0">
            <x v="9"/>
          </reference>
          <reference field="70" count="1" selected="0">
            <x v="1"/>
          </reference>
        </references>
      </pivotArea>
    </format>
    <format dxfId="2995">
      <pivotArea outline="0" fieldPosition="0">
        <references count="4">
          <reference field="4294967294" count="1" selected="0">
            <x v="8"/>
          </reference>
          <reference field="0" count="1" selected="0">
            <x v="2"/>
          </reference>
          <reference field="4" count="1" selected="0">
            <x v="9"/>
          </reference>
          <reference field="70" count="1" selected="0">
            <x v="1"/>
          </reference>
        </references>
      </pivotArea>
    </format>
    <format dxfId="2994">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2993">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2992">
      <pivotArea outline="0" fieldPosition="0">
        <references count="4">
          <reference field="4294967294" count="1" selected="0">
            <x v="2"/>
          </reference>
          <reference field="0" count="1" selected="0">
            <x v="5"/>
          </reference>
          <reference field="4" count="1" selected="0">
            <x v="10"/>
          </reference>
          <reference field="70" count="1" selected="0">
            <x v="1"/>
          </reference>
        </references>
      </pivotArea>
    </format>
    <format dxfId="2991">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2990">
      <pivotArea outline="0" fieldPosition="0">
        <references count="4">
          <reference field="4294967294" count="1" selected="0">
            <x v="5"/>
          </reference>
          <reference field="0" count="1" selected="0">
            <x v="5"/>
          </reference>
          <reference field="4" count="1" selected="0">
            <x v="10"/>
          </reference>
          <reference field="70" count="1" selected="0">
            <x v="1"/>
          </reference>
        </references>
      </pivotArea>
    </format>
    <format dxfId="2989">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2988">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2987">
      <pivotArea outline="0" fieldPosition="0">
        <references count="4">
          <reference field="4294967294" count="1" selected="0">
            <x v="26"/>
          </reference>
          <reference field="0" count="1" selected="0">
            <x v="15"/>
          </reference>
          <reference field="4" count="1" selected="0">
            <x v="9"/>
          </reference>
          <reference field="70" count="1" selected="0">
            <x v="1"/>
          </reference>
        </references>
      </pivotArea>
    </format>
    <format dxfId="2986">
      <pivotArea outline="0" fieldPosition="0">
        <references count="4">
          <reference field="4294967294" count="1" selected="0">
            <x v="14"/>
          </reference>
          <reference field="0" count="1" selected="0">
            <x v="0"/>
          </reference>
          <reference field="4" count="1" selected="0">
            <x v="8"/>
          </reference>
          <reference field="70" count="1" selected="0">
            <x v="1"/>
          </reference>
        </references>
      </pivotArea>
    </format>
    <format dxfId="2985">
      <pivotArea outline="0" fieldPosition="0">
        <references count="4">
          <reference field="4294967294" count="1" selected="0">
            <x v="32"/>
          </reference>
          <reference field="0" count="1" selected="0">
            <x v="9"/>
          </reference>
          <reference field="4" count="1" selected="0">
            <x v="2"/>
          </reference>
          <reference field="70" count="1" selected="0">
            <x v="0"/>
          </reference>
        </references>
      </pivotArea>
    </format>
    <format dxfId="2984">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2983">
      <pivotArea outline="0" fieldPosition="0">
        <references count="4">
          <reference field="4294967294" count="1" selected="0">
            <x v="29"/>
          </reference>
          <reference field="0" count="1" selected="0">
            <x v="11"/>
          </reference>
          <reference field="4" count="1" selected="0">
            <x v="2"/>
          </reference>
          <reference field="70" count="1" selected="0">
            <x v="0"/>
          </reference>
        </references>
      </pivotArea>
    </format>
    <format dxfId="2982">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2981">
      <pivotArea outline="0" fieldPosition="0">
        <references count="4">
          <reference field="4294967294" count="1" selected="0">
            <x v="26"/>
          </reference>
          <reference field="0" count="1" selected="0">
            <x v="5"/>
          </reference>
          <reference field="4" count="1" selected="0">
            <x v="0"/>
          </reference>
          <reference field="70" count="1" selected="0">
            <x v="0"/>
          </reference>
        </references>
      </pivotArea>
    </format>
    <format dxfId="2980">
      <pivotArea type="all" dataOnly="0" outline="0" fieldPosition="0"/>
    </format>
    <format dxfId="2979">
      <pivotArea outline="0" fieldPosition="0"/>
    </format>
    <format dxfId="2978">
      <pivotArea type="origin" dataOnly="0" labelOnly="1" outline="0" fieldPosition="0"/>
    </format>
    <format dxfId="2977">
      <pivotArea field="70" type="button" dataOnly="0" labelOnly="1" outline="0" axis="axisCol" fieldPosition="0"/>
    </format>
    <format dxfId="2976">
      <pivotArea field="4" type="button" dataOnly="0" labelOnly="1" outline="0" axis="axisCol" fieldPosition="1"/>
    </format>
    <format dxfId="2975">
      <pivotArea type="topRight" dataOnly="0" labelOnly="1" outline="0" fieldPosition="0"/>
    </format>
    <format dxfId="2974">
      <pivotArea field="0" type="button" dataOnly="0" labelOnly="1" outline="0" axis="axisRow" fieldPosition="0"/>
    </format>
    <format dxfId="2973">
      <pivotArea field="-2" type="button" dataOnly="0" labelOnly="1" outline="0" axis="axisRow" fieldPosition="1"/>
    </format>
    <format dxfId="2972">
      <pivotArea dataOnly="0" labelOnly="1" outline="0" fieldPosition="0">
        <references count="1">
          <reference field="0" count="0"/>
        </references>
      </pivotArea>
    </format>
    <format dxfId="2971">
      <pivotArea field="0" dataOnly="0" labelOnly="1" grandRow="1" outline="0" axis="axisRow" fieldPosition="0">
        <references count="1">
          <reference field="4294967294" count="1" selected="0">
            <x v="0"/>
          </reference>
        </references>
      </pivotArea>
    </format>
    <format dxfId="2970">
      <pivotArea field="0" dataOnly="0" labelOnly="1" grandRow="1" outline="0" axis="axisRow" fieldPosition="0">
        <references count="1">
          <reference field="4294967294" count="1" selected="0">
            <x v="1"/>
          </reference>
        </references>
      </pivotArea>
    </format>
    <format dxfId="2969">
      <pivotArea field="0" dataOnly="0" labelOnly="1" grandRow="1" outline="0" axis="axisRow" fieldPosition="0">
        <references count="1">
          <reference field="4294967294" count="1" selected="0">
            <x v="2"/>
          </reference>
        </references>
      </pivotArea>
    </format>
    <format dxfId="2968">
      <pivotArea field="0" dataOnly="0" labelOnly="1" grandRow="1" outline="0" axis="axisRow" fieldPosition="0">
        <references count="1">
          <reference field="4294967294" count="1" selected="0">
            <x v="3"/>
          </reference>
        </references>
      </pivotArea>
    </format>
    <format dxfId="2967">
      <pivotArea field="0" dataOnly="0" labelOnly="1" grandRow="1" outline="0" axis="axisRow" fieldPosition="0">
        <references count="1">
          <reference field="4294967294" count="1" selected="0">
            <x v="4"/>
          </reference>
        </references>
      </pivotArea>
    </format>
    <format dxfId="2966">
      <pivotArea field="0" dataOnly="0" labelOnly="1" grandRow="1" outline="0" axis="axisRow" fieldPosition="0">
        <references count="1">
          <reference field="4294967294" count="1" selected="0">
            <x v="5"/>
          </reference>
        </references>
      </pivotArea>
    </format>
    <format dxfId="2965">
      <pivotArea field="0" dataOnly="0" labelOnly="1" grandRow="1" outline="0" axis="axisRow" fieldPosition="0">
        <references count="1">
          <reference field="4294967294" count="1" selected="0">
            <x v="6"/>
          </reference>
        </references>
      </pivotArea>
    </format>
    <format dxfId="2964">
      <pivotArea field="0" dataOnly="0" labelOnly="1" grandRow="1" outline="0" axis="axisRow" fieldPosition="0">
        <references count="1">
          <reference field="4294967294" count="1" selected="0">
            <x v="7"/>
          </reference>
        </references>
      </pivotArea>
    </format>
    <format dxfId="2963">
      <pivotArea field="0" dataOnly="0" labelOnly="1" grandRow="1" outline="0" axis="axisRow" fieldPosition="0">
        <references count="1">
          <reference field="4294967294" count="1" selected="0">
            <x v="8"/>
          </reference>
        </references>
      </pivotArea>
    </format>
    <format dxfId="2962">
      <pivotArea field="0" dataOnly="0" labelOnly="1" grandRow="1" outline="0" axis="axisRow" fieldPosition="0">
        <references count="1">
          <reference field="4294967294" count="1" selected="0">
            <x v="9"/>
          </reference>
        </references>
      </pivotArea>
    </format>
    <format dxfId="2961">
      <pivotArea field="0" dataOnly="0" labelOnly="1" grandRow="1" outline="0" axis="axisRow" fieldPosition="0">
        <references count="1">
          <reference field="4294967294" count="1" selected="0">
            <x v="10"/>
          </reference>
        </references>
      </pivotArea>
    </format>
    <format dxfId="2960">
      <pivotArea field="0" dataOnly="0" labelOnly="1" grandRow="1" outline="0" axis="axisRow" fieldPosition="0">
        <references count="1">
          <reference field="4294967294" count="1" selected="0">
            <x v="11"/>
          </reference>
        </references>
      </pivotArea>
    </format>
    <format dxfId="2959">
      <pivotArea field="0" dataOnly="0" labelOnly="1" grandRow="1" outline="0" axis="axisRow" fieldPosition="0">
        <references count="1">
          <reference field="4294967294" count="1" selected="0">
            <x v="12"/>
          </reference>
        </references>
      </pivotArea>
    </format>
    <format dxfId="2958">
      <pivotArea field="0" dataOnly="0" labelOnly="1" grandRow="1" outline="0" axis="axisRow" fieldPosition="0">
        <references count="1">
          <reference field="4294967294" count="1" selected="0">
            <x v="13"/>
          </reference>
        </references>
      </pivotArea>
    </format>
    <format dxfId="2957">
      <pivotArea field="0" dataOnly="0" labelOnly="1" grandRow="1" outline="0" axis="axisRow" fieldPosition="0">
        <references count="1">
          <reference field="4294967294" count="1" selected="0">
            <x v="14"/>
          </reference>
        </references>
      </pivotArea>
    </format>
    <format dxfId="2956">
      <pivotArea field="0" dataOnly="0" labelOnly="1" grandRow="1" outline="0" axis="axisRow" fieldPosition="0">
        <references count="1">
          <reference field="4294967294" count="1" selected="0">
            <x v="15"/>
          </reference>
        </references>
      </pivotArea>
    </format>
    <format dxfId="2955">
      <pivotArea field="0" dataOnly="0" labelOnly="1" grandRow="1" outline="0" axis="axisRow" fieldPosition="0">
        <references count="1">
          <reference field="4294967294" count="1" selected="0">
            <x v="16"/>
          </reference>
        </references>
      </pivotArea>
    </format>
    <format dxfId="2954">
      <pivotArea field="0" dataOnly="0" labelOnly="1" grandRow="1" outline="0" axis="axisRow" fieldPosition="0">
        <references count="1">
          <reference field="4294967294" count="1" selected="0">
            <x v="17"/>
          </reference>
        </references>
      </pivotArea>
    </format>
    <format dxfId="2953">
      <pivotArea field="0" dataOnly="0" labelOnly="1" grandRow="1" outline="0" axis="axisRow" fieldPosition="0">
        <references count="1">
          <reference field="4294967294" count="1" selected="0">
            <x v="18"/>
          </reference>
        </references>
      </pivotArea>
    </format>
    <format dxfId="2952">
      <pivotArea field="0" dataOnly="0" labelOnly="1" grandRow="1" outline="0" axis="axisRow" fieldPosition="0">
        <references count="1">
          <reference field="4294967294" count="1" selected="0">
            <x v="19"/>
          </reference>
        </references>
      </pivotArea>
    </format>
    <format dxfId="2951">
      <pivotArea field="0" dataOnly="0" labelOnly="1" grandRow="1" outline="0" axis="axisRow" fieldPosition="0">
        <references count="1">
          <reference field="4294967294" count="1" selected="0">
            <x v="20"/>
          </reference>
        </references>
      </pivotArea>
    </format>
    <format dxfId="2950">
      <pivotArea field="0" dataOnly="0" labelOnly="1" grandRow="1" outline="0" axis="axisRow" fieldPosition="0">
        <references count="1">
          <reference field="4294967294" count="1" selected="0">
            <x v="21"/>
          </reference>
        </references>
      </pivotArea>
    </format>
    <format dxfId="2949">
      <pivotArea field="0" dataOnly="0" labelOnly="1" grandRow="1" outline="0" axis="axisRow" fieldPosition="0">
        <references count="1">
          <reference field="4294967294" count="1" selected="0">
            <x v="22"/>
          </reference>
        </references>
      </pivotArea>
    </format>
    <format dxfId="2948">
      <pivotArea field="0" dataOnly="0" labelOnly="1" grandRow="1" outline="0" axis="axisRow" fieldPosition="0">
        <references count="1">
          <reference field="4294967294" count="1" selected="0">
            <x v="23"/>
          </reference>
        </references>
      </pivotArea>
    </format>
    <format dxfId="2947">
      <pivotArea field="0" dataOnly="0" labelOnly="1" grandRow="1" outline="0" axis="axisRow" fieldPosition="0">
        <references count="1">
          <reference field="4294967294" count="1" selected="0">
            <x v="24"/>
          </reference>
        </references>
      </pivotArea>
    </format>
    <format dxfId="2946">
      <pivotArea field="0" dataOnly="0" labelOnly="1" grandRow="1" outline="0" axis="axisRow" fieldPosition="0">
        <references count="1">
          <reference field="4294967294" count="1" selected="0">
            <x v="25"/>
          </reference>
        </references>
      </pivotArea>
    </format>
    <format dxfId="2945">
      <pivotArea field="0" dataOnly="0" labelOnly="1" grandRow="1" outline="0" axis="axisRow" fieldPosition="0">
        <references count="1">
          <reference field="4294967294" count="1" selected="0">
            <x v="26"/>
          </reference>
        </references>
      </pivotArea>
    </format>
    <format dxfId="2944">
      <pivotArea field="0" dataOnly="0" labelOnly="1" grandRow="1" outline="0" axis="axisRow" fieldPosition="0">
        <references count="1">
          <reference field="4294967294" count="1" selected="0">
            <x v="27"/>
          </reference>
        </references>
      </pivotArea>
    </format>
    <format dxfId="2943">
      <pivotArea field="0" dataOnly="0" labelOnly="1" grandRow="1" outline="0" axis="axisRow" fieldPosition="0">
        <references count="1">
          <reference field="4294967294" count="1" selected="0">
            <x v="28"/>
          </reference>
        </references>
      </pivotArea>
    </format>
    <format dxfId="2942">
      <pivotArea field="0" dataOnly="0" labelOnly="1" grandRow="1" outline="0" axis="axisRow" fieldPosition="0">
        <references count="1">
          <reference field="4294967294" count="1" selected="0">
            <x v="29"/>
          </reference>
        </references>
      </pivotArea>
    </format>
    <format dxfId="2941">
      <pivotArea field="0" dataOnly="0" labelOnly="1" grandRow="1" outline="0" axis="axisRow" fieldPosition="0">
        <references count="1">
          <reference field="4294967294" count="1" selected="0">
            <x v="30"/>
          </reference>
        </references>
      </pivotArea>
    </format>
    <format dxfId="2940">
      <pivotArea field="0" dataOnly="0" labelOnly="1" grandRow="1" outline="0" axis="axisRow" fieldPosition="0">
        <references count="1">
          <reference field="4294967294" count="1" selected="0">
            <x v="31"/>
          </reference>
        </references>
      </pivotArea>
    </format>
    <format dxfId="2939">
      <pivotArea field="0" dataOnly="0" labelOnly="1" grandRow="1" outline="0" axis="axisRow" fieldPosition="0">
        <references count="1">
          <reference field="4294967294" count="1" selected="0">
            <x v="32"/>
          </reference>
        </references>
      </pivotArea>
    </format>
    <format dxfId="2938">
      <pivotArea field="0" dataOnly="0" labelOnly="1" grandRow="1" outline="0" axis="axisRow" fieldPosition="0">
        <references count="1">
          <reference field="4294967294" count="1" selected="0">
            <x v="33"/>
          </reference>
        </references>
      </pivotArea>
    </format>
    <format dxfId="2937">
      <pivotArea field="0" dataOnly="0" labelOnly="1" grandRow="1" outline="0" axis="axisRow" fieldPosition="0">
        <references count="1">
          <reference field="4294967294" count="1" selected="0">
            <x v="34"/>
          </reference>
        </references>
      </pivotArea>
    </format>
    <format dxfId="2936">
      <pivotArea field="0" dataOnly="0" labelOnly="1" grandRow="1" outline="0" axis="axisRow" fieldPosition="0">
        <references count="1">
          <reference field="4294967294" count="1" selected="0">
            <x v="35"/>
          </reference>
        </references>
      </pivotArea>
    </format>
    <format dxfId="2935">
      <pivotArea field="0" dataOnly="0" labelOnly="1" grandRow="1" outline="0" axis="axisRow" fieldPosition="0">
        <references count="1">
          <reference field="4294967294" count="1" selected="0">
            <x v="0"/>
          </reference>
        </references>
      </pivotArea>
    </format>
    <format dxfId="2934">
      <pivotArea field="0" dataOnly="0" labelOnly="1" grandRow="1" outline="0" axis="axisRow" fieldPosition="0">
        <references count="1">
          <reference field="4294967294" count="1" selected="0">
            <x v="1"/>
          </reference>
        </references>
      </pivotArea>
    </format>
    <format dxfId="2933">
      <pivotArea field="0" dataOnly="0" labelOnly="1" grandRow="1" outline="0" axis="axisRow" fieldPosition="0">
        <references count="1">
          <reference field="4294967294" count="1" selected="0">
            <x v="2"/>
          </reference>
        </references>
      </pivotArea>
    </format>
    <format dxfId="2932">
      <pivotArea field="0" dataOnly="0" labelOnly="1" grandRow="1" outline="0" axis="axisRow" fieldPosition="0">
        <references count="1">
          <reference field="4294967294" count="1" selected="0">
            <x v="3"/>
          </reference>
        </references>
      </pivotArea>
    </format>
    <format dxfId="2931">
      <pivotArea field="0" dataOnly="0" labelOnly="1" grandRow="1" outline="0" axis="axisRow" fieldPosition="0">
        <references count="1">
          <reference field="4294967294" count="1" selected="0">
            <x v="4"/>
          </reference>
        </references>
      </pivotArea>
    </format>
    <format dxfId="2930">
      <pivotArea field="0" dataOnly="0" labelOnly="1" grandRow="1" outline="0" axis="axisRow" fieldPosition="0">
        <references count="1">
          <reference field="4294967294" count="1" selected="0">
            <x v="5"/>
          </reference>
        </references>
      </pivotArea>
    </format>
    <format dxfId="2929">
      <pivotArea field="0" dataOnly="0" labelOnly="1" grandRow="1" outline="0" axis="axisRow" fieldPosition="0">
        <references count="1">
          <reference field="4294967294" count="1" selected="0">
            <x v="6"/>
          </reference>
        </references>
      </pivotArea>
    </format>
    <format dxfId="2928">
      <pivotArea field="0" dataOnly="0" labelOnly="1" grandRow="1" outline="0" axis="axisRow" fieldPosition="0">
        <references count="1">
          <reference field="4294967294" count="1" selected="0">
            <x v="7"/>
          </reference>
        </references>
      </pivotArea>
    </format>
    <format dxfId="2927">
      <pivotArea field="0" dataOnly="0" labelOnly="1" grandRow="1" outline="0" axis="axisRow" fieldPosition="0">
        <references count="1">
          <reference field="4294967294" count="1" selected="0">
            <x v="8"/>
          </reference>
        </references>
      </pivotArea>
    </format>
    <format dxfId="2926">
      <pivotArea field="0" dataOnly="0" labelOnly="1" grandRow="1" outline="0" axis="axisRow" fieldPosition="0">
        <references count="1">
          <reference field="4294967294" count="1" selected="0">
            <x v="9"/>
          </reference>
        </references>
      </pivotArea>
    </format>
    <format dxfId="2925">
      <pivotArea field="0" dataOnly="0" labelOnly="1" grandRow="1" outline="0" axis="axisRow" fieldPosition="0">
        <references count="1">
          <reference field="4294967294" count="1" selected="0">
            <x v="10"/>
          </reference>
        </references>
      </pivotArea>
    </format>
    <format dxfId="2924">
      <pivotArea field="0" dataOnly="0" labelOnly="1" grandRow="1" outline="0" axis="axisRow" fieldPosition="0">
        <references count="1">
          <reference field="4294967294" count="1" selected="0">
            <x v="11"/>
          </reference>
        </references>
      </pivotArea>
    </format>
    <format dxfId="2923">
      <pivotArea field="0" dataOnly="0" labelOnly="1" grandRow="1" outline="0" axis="axisRow" fieldPosition="0">
        <references count="1">
          <reference field="4294967294" count="1" selected="0">
            <x v="12"/>
          </reference>
        </references>
      </pivotArea>
    </format>
    <format dxfId="2922">
      <pivotArea field="0" dataOnly="0" labelOnly="1" grandRow="1" outline="0" axis="axisRow" fieldPosition="0">
        <references count="1">
          <reference field="4294967294" count="1" selected="0">
            <x v="13"/>
          </reference>
        </references>
      </pivotArea>
    </format>
    <format dxfId="2921">
      <pivotArea field="0" dataOnly="0" labelOnly="1" grandRow="1" outline="0" axis="axisRow" fieldPosition="0">
        <references count="1">
          <reference field="4294967294" count="1" selected="0">
            <x v="14"/>
          </reference>
        </references>
      </pivotArea>
    </format>
    <format dxfId="2920">
      <pivotArea field="0" dataOnly="0" labelOnly="1" grandRow="1" outline="0" axis="axisRow" fieldPosition="0">
        <references count="1">
          <reference field="4294967294" count="1" selected="0">
            <x v="15"/>
          </reference>
        </references>
      </pivotArea>
    </format>
    <format dxfId="2919">
      <pivotArea field="0" dataOnly="0" labelOnly="1" grandRow="1" outline="0" axis="axisRow" fieldPosition="0">
        <references count="1">
          <reference field="4294967294" count="1" selected="0">
            <x v="16"/>
          </reference>
        </references>
      </pivotArea>
    </format>
    <format dxfId="2918">
      <pivotArea field="0" dataOnly="0" labelOnly="1" grandRow="1" outline="0" axis="axisRow" fieldPosition="0">
        <references count="1">
          <reference field="4294967294" count="1" selected="0">
            <x v="17"/>
          </reference>
        </references>
      </pivotArea>
    </format>
    <format dxfId="2917">
      <pivotArea field="0" dataOnly="0" labelOnly="1" grandRow="1" outline="0" axis="axisRow" fieldPosition="0">
        <references count="1">
          <reference field="4294967294" count="1" selected="0">
            <x v="18"/>
          </reference>
        </references>
      </pivotArea>
    </format>
    <format dxfId="2916">
      <pivotArea field="0" dataOnly="0" labelOnly="1" grandRow="1" outline="0" axis="axisRow" fieldPosition="0">
        <references count="1">
          <reference field="4294967294" count="1" selected="0">
            <x v="19"/>
          </reference>
        </references>
      </pivotArea>
    </format>
    <format dxfId="2915">
      <pivotArea field="0" dataOnly="0" labelOnly="1" grandRow="1" outline="0" axis="axisRow" fieldPosition="0">
        <references count="1">
          <reference field="4294967294" count="1" selected="0">
            <x v="20"/>
          </reference>
        </references>
      </pivotArea>
    </format>
    <format dxfId="2914">
      <pivotArea field="0" dataOnly="0" labelOnly="1" grandRow="1" outline="0" axis="axisRow" fieldPosition="0">
        <references count="1">
          <reference field="4294967294" count="1" selected="0">
            <x v="21"/>
          </reference>
        </references>
      </pivotArea>
    </format>
    <format dxfId="2913">
      <pivotArea field="0" dataOnly="0" labelOnly="1" grandRow="1" outline="0" axis="axisRow" fieldPosition="0">
        <references count="1">
          <reference field="4294967294" count="1" selected="0">
            <x v="22"/>
          </reference>
        </references>
      </pivotArea>
    </format>
    <format dxfId="2912">
      <pivotArea field="0" dataOnly="0" labelOnly="1" grandRow="1" outline="0" axis="axisRow" fieldPosition="0">
        <references count="1">
          <reference field="4294967294" count="1" selected="0">
            <x v="23"/>
          </reference>
        </references>
      </pivotArea>
    </format>
    <format dxfId="2911">
      <pivotArea field="0" dataOnly="0" labelOnly="1" grandRow="1" outline="0" axis="axisRow" fieldPosition="0">
        <references count="1">
          <reference field="4294967294" count="1" selected="0">
            <x v="24"/>
          </reference>
        </references>
      </pivotArea>
    </format>
    <format dxfId="2910">
      <pivotArea field="0" dataOnly="0" labelOnly="1" grandRow="1" outline="0" axis="axisRow" fieldPosition="0">
        <references count="1">
          <reference field="4294967294" count="1" selected="0">
            <x v="25"/>
          </reference>
        </references>
      </pivotArea>
    </format>
    <format dxfId="2909">
      <pivotArea field="0" dataOnly="0" labelOnly="1" grandRow="1" outline="0" axis="axisRow" fieldPosition="0">
        <references count="1">
          <reference field="4294967294" count="1" selected="0">
            <x v="26"/>
          </reference>
        </references>
      </pivotArea>
    </format>
    <format dxfId="2908">
      <pivotArea field="0" dataOnly="0" labelOnly="1" grandRow="1" outline="0" axis="axisRow" fieldPosition="0">
        <references count="1">
          <reference field="4294967294" count="1" selected="0">
            <x v="27"/>
          </reference>
        </references>
      </pivotArea>
    </format>
    <format dxfId="2907">
      <pivotArea field="0" dataOnly="0" labelOnly="1" grandRow="1" outline="0" axis="axisRow" fieldPosition="0">
        <references count="1">
          <reference field="4294967294" count="1" selected="0">
            <x v="28"/>
          </reference>
        </references>
      </pivotArea>
    </format>
    <format dxfId="2906">
      <pivotArea field="0" dataOnly="0" labelOnly="1" grandRow="1" outline="0" axis="axisRow" fieldPosition="0">
        <references count="1">
          <reference field="4294967294" count="1" selected="0">
            <x v="29"/>
          </reference>
        </references>
      </pivotArea>
    </format>
    <format dxfId="2905">
      <pivotArea field="0" dataOnly="0" labelOnly="1" grandRow="1" outline="0" axis="axisRow" fieldPosition="0">
        <references count="1">
          <reference field="4294967294" count="1" selected="0">
            <x v="30"/>
          </reference>
        </references>
      </pivotArea>
    </format>
    <format dxfId="2904">
      <pivotArea field="0" dataOnly="0" labelOnly="1" grandRow="1" outline="0" axis="axisRow" fieldPosition="0">
        <references count="1">
          <reference field="4294967294" count="1" selected="0">
            <x v="31"/>
          </reference>
        </references>
      </pivotArea>
    </format>
    <format dxfId="2903">
      <pivotArea field="0" dataOnly="0" labelOnly="1" grandRow="1" outline="0" axis="axisRow" fieldPosition="0">
        <references count="1">
          <reference field="4294967294" count="1" selected="0">
            <x v="32"/>
          </reference>
        </references>
      </pivotArea>
    </format>
    <format dxfId="2902">
      <pivotArea field="0" dataOnly="0" labelOnly="1" grandRow="1" outline="0" axis="axisRow" fieldPosition="0">
        <references count="1">
          <reference field="4294967294" count="1" selected="0">
            <x v="33"/>
          </reference>
        </references>
      </pivotArea>
    </format>
    <format dxfId="2901">
      <pivotArea field="0" dataOnly="0" labelOnly="1" grandRow="1" outline="0" axis="axisRow" fieldPosition="0">
        <references count="1">
          <reference field="4294967294" count="1" selected="0">
            <x v="34"/>
          </reference>
        </references>
      </pivotArea>
    </format>
    <format dxfId="2900">
      <pivotArea field="0" dataOnly="0" labelOnly="1" grandRow="1" outline="0" axis="axisRow" fieldPosition="0">
        <references count="1">
          <reference field="4294967294" count="1" selected="0">
            <x v="35"/>
          </reference>
        </references>
      </pivotArea>
    </format>
    <format dxfId="2899">
      <pivotArea field="0" dataOnly="0" labelOnly="1" grandRow="1" outline="0" axis="axisRow" fieldPosition="0">
        <references count="1">
          <reference field="4294967294" count="1" selected="0">
            <x v="0"/>
          </reference>
        </references>
      </pivotArea>
    </format>
    <format dxfId="2898">
      <pivotArea field="0" dataOnly="0" labelOnly="1" grandRow="1" outline="0" axis="axisRow" fieldPosition="0">
        <references count="1">
          <reference field="4294967294" count="1" selected="0">
            <x v="1"/>
          </reference>
        </references>
      </pivotArea>
    </format>
    <format dxfId="2897">
      <pivotArea field="0" dataOnly="0" labelOnly="1" grandRow="1" outline="0" axis="axisRow" fieldPosition="0">
        <references count="1">
          <reference field="4294967294" count="1" selected="0">
            <x v="2"/>
          </reference>
        </references>
      </pivotArea>
    </format>
    <format dxfId="2896">
      <pivotArea field="0" dataOnly="0" labelOnly="1" grandRow="1" outline="0" axis="axisRow" fieldPosition="0">
        <references count="1">
          <reference field="4294967294" count="1" selected="0">
            <x v="3"/>
          </reference>
        </references>
      </pivotArea>
    </format>
    <format dxfId="2895">
      <pivotArea field="0" dataOnly="0" labelOnly="1" grandRow="1" outline="0" axis="axisRow" fieldPosition="0">
        <references count="1">
          <reference field="4294967294" count="1" selected="0">
            <x v="4"/>
          </reference>
        </references>
      </pivotArea>
    </format>
    <format dxfId="2894">
      <pivotArea field="0" dataOnly="0" labelOnly="1" grandRow="1" outline="0" axis="axisRow" fieldPosition="0">
        <references count="1">
          <reference field="4294967294" count="1" selected="0">
            <x v="5"/>
          </reference>
        </references>
      </pivotArea>
    </format>
    <format dxfId="2893">
      <pivotArea field="0" dataOnly="0" labelOnly="1" grandRow="1" outline="0" axis="axisRow" fieldPosition="0">
        <references count="1">
          <reference field="4294967294" count="1" selected="0">
            <x v="6"/>
          </reference>
        </references>
      </pivotArea>
    </format>
    <format dxfId="2892">
      <pivotArea field="0" dataOnly="0" labelOnly="1" grandRow="1" outline="0" axis="axisRow" fieldPosition="0">
        <references count="1">
          <reference field="4294967294" count="1" selected="0">
            <x v="7"/>
          </reference>
        </references>
      </pivotArea>
    </format>
    <format dxfId="2891">
      <pivotArea field="0" dataOnly="0" labelOnly="1" grandRow="1" outline="0" axis="axisRow" fieldPosition="0">
        <references count="1">
          <reference field="4294967294" count="1" selected="0">
            <x v="8"/>
          </reference>
        </references>
      </pivotArea>
    </format>
    <format dxfId="2890">
      <pivotArea field="0" dataOnly="0" labelOnly="1" grandRow="1" outline="0" axis="axisRow" fieldPosition="0">
        <references count="1">
          <reference field="4294967294" count="1" selected="0">
            <x v="9"/>
          </reference>
        </references>
      </pivotArea>
    </format>
    <format dxfId="2889">
      <pivotArea field="0" dataOnly="0" labelOnly="1" grandRow="1" outline="0" axis="axisRow" fieldPosition="0">
        <references count="1">
          <reference field="4294967294" count="1" selected="0">
            <x v="10"/>
          </reference>
        </references>
      </pivotArea>
    </format>
    <format dxfId="2888">
      <pivotArea field="0" dataOnly="0" labelOnly="1" grandRow="1" outline="0" axis="axisRow" fieldPosition="0">
        <references count="1">
          <reference field="4294967294" count="1" selected="0">
            <x v="11"/>
          </reference>
        </references>
      </pivotArea>
    </format>
    <format dxfId="2887">
      <pivotArea field="0" dataOnly="0" labelOnly="1" grandRow="1" outline="0" axis="axisRow" fieldPosition="0">
        <references count="1">
          <reference field="4294967294" count="1" selected="0">
            <x v="12"/>
          </reference>
        </references>
      </pivotArea>
    </format>
    <format dxfId="2886">
      <pivotArea field="0" dataOnly="0" labelOnly="1" grandRow="1" outline="0" axis="axisRow" fieldPosition="0">
        <references count="1">
          <reference field="4294967294" count="1" selected="0">
            <x v="13"/>
          </reference>
        </references>
      </pivotArea>
    </format>
    <format dxfId="2885">
      <pivotArea field="0" dataOnly="0" labelOnly="1" grandRow="1" outline="0" axis="axisRow" fieldPosition="0">
        <references count="1">
          <reference field="4294967294" count="1" selected="0">
            <x v="14"/>
          </reference>
        </references>
      </pivotArea>
    </format>
    <format dxfId="2884">
      <pivotArea field="0" dataOnly="0" labelOnly="1" grandRow="1" outline="0" axis="axisRow" fieldPosition="0">
        <references count="1">
          <reference field="4294967294" count="1" selected="0">
            <x v="15"/>
          </reference>
        </references>
      </pivotArea>
    </format>
    <format dxfId="2883">
      <pivotArea field="0" dataOnly="0" labelOnly="1" grandRow="1" outline="0" axis="axisRow" fieldPosition="0">
        <references count="1">
          <reference field="4294967294" count="1" selected="0">
            <x v="16"/>
          </reference>
        </references>
      </pivotArea>
    </format>
    <format dxfId="2882">
      <pivotArea field="0" dataOnly="0" labelOnly="1" grandRow="1" outline="0" axis="axisRow" fieldPosition="0">
        <references count="1">
          <reference field="4294967294" count="1" selected="0">
            <x v="17"/>
          </reference>
        </references>
      </pivotArea>
    </format>
    <format dxfId="2881">
      <pivotArea field="0" dataOnly="0" labelOnly="1" grandRow="1" outline="0" axis="axisRow" fieldPosition="0">
        <references count="1">
          <reference field="4294967294" count="1" selected="0">
            <x v="18"/>
          </reference>
        </references>
      </pivotArea>
    </format>
    <format dxfId="2880">
      <pivotArea field="0" dataOnly="0" labelOnly="1" grandRow="1" outline="0" axis="axisRow" fieldPosition="0">
        <references count="1">
          <reference field="4294967294" count="1" selected="0">
            <x v="19"/>
          </reference>
        </references>
      </pivotArea>
    </format>
    <format dxfId="2879">
      <pivotArea field="0" dataOnly="0" labelOnly="1" grandRow="1" outline="0" axis="axisRow" fieldPosition="0">
        <references count="1">
          <reference field="4294967294" count="1" selected="0">
            <x v="20"/>
          </reference>
        </references>
      </pivotArea>
    </format>
    <format dxfId="2878">
      <pivotArea field="0" dataOnly="0" labelOnly="1" grandRow="1" outline="0" axis="axisRow" fieldPosition="0">
        <references count="1">
          <reference field="4294967294" count="1" selected="0">
            <x v="21"/>
          </reference>
        </references>
      </pivotArea>
    </format>
    <format dxfId="2877">
      <pivotArea field="0" dataOnly="0" labelOnly="1" grandRow="1" outline="0" axis="axisRow" fieldPosition="0">
        <references count="1">
          <reference field="4294967294" count="1" selected="0">
            <x v="22"/>
          </reference>
        </references>
      </pivotArea>
    </format>
    <format dxfId="2876">
      <pivotArea field="0" dataOnly="0" labelOnly="1" grandRow="1" outline="0" axis="axisRow" fieldPosition="0">
        <references count="1">
          <reference field="4294967294" count="1" selected="0">
            <x v="23"/>
          </reference>
        </references>
      </pivotArea>
    </format>
    <format dxfId="2875">
      <pivotArea field="0" dataOnly="0" labelOnly="1" grandRow="1" outline="0" axis="axisRow" fieldPosition="0">
        <references count="1">
          <reference field="4294967294" count="1" selected="0">
            <x v="24"/>
          </reference>
        </references>
      </pivotArea>
    </format>
    <format dxfId="2874">
      <pivotArea field="0" dataOnly="0" labelOnly="1" grandRow="1" outline="0" axis="axisRow" fieldPosition="0">
        <references count="1">
          <reference field="4294967294" count="1" selected="0">
            <x v="25"/>
          </reference>
        </references>
      </pivotArea>
    </format>
    <format dxfId="2873">
      <pivotArea field="0" dataOnly="0" labelOnly="1" grandRow="1" outline="0" axis="axisRow" fieldPosition="0">
        <references count="1">
          <reference field="4294967294" count="1" selected="0">
            <x v="26"/>
          </reference>
        </references>
      </pivotArea>
    </format>
    <format dxfId="2872">
      <pivotArea field="0" dataOnly="0" labelOnly="1" grandRow="1" outline="0" axis="axisRow" fieldPosition="0">
        <references count="1">
          <reference field="4294967294" count="1" selected="0">
            <x v="27"/>
          </reference>
        </references>
      </pivotArea>
    </format>
    <format dxfId="2871">
      <pivotArea field="0" dataOnly="0" labelOnly="1" grandRow="1" outline="0" axis="axisRow" fieldPosition="0">
        <references count="1">
          <reference field="4294967294" count="1" selected="0">
            <x v="28"/>
          </reference>
        </references>
      </pivotArea>
    </format>
    <format dxfId="2870">
      <pivotArea field="0" dataOnly="0" labelOnly="1" grandRow="1" outline="0" axis="axisRow" fieldPosition="0">
        <references count="1">
          <reference field="4294967294" count="1" selected="0">
            <x v="29"/>
          </reference>
        </references>
      </pivotArea>
    </format>
    <format dxfId="2869">
      <pivotArea field="0" dataOnly="0" labelOnly="1" grandRow="1" outline="0" axis="axisRow" fieldPosition="0">
        <references count="1">
          <reference field="4294967294" count="1" selected="0">
            <x v="30"/>
          </reference>
        </references>
      </pivotArea>
    </format>
    <format dxfId="2868">
      <pivotArea field="0" dataOnly="0" labelOnly="1" grandRow="1" outline="0" axis="axisRow" fieldPosition="0">
        <references count="1">
          <reference field="4294967294" count="1" selected="0">
            <x v="31"/>
          </reference>
        </references>
      </pivotArea>
    </format>
    <format dxfId="2867">
      <pivotArea field="0" dataOnly="0" labelOnly="1" grandRow="1" outline="0" axis="axisRow" fieldPosition="0">
        <references count="1">
          <reference field="4294967294" count="1" selected="0">
            <x v="32"/>
          </reference>
        </references>
      </pivotArea>
    </format>
    <format dxfId="2866">
      <pivotArea field="0" dataOnly="0" labelOnly="1" grandRow="1" outline="0" axis="axisRow" fieldPosition="0">
        <references count="1">
          <reference field="4294967294" count="1" selected="0">
            <x v="33"/>
          </reference>
        </references>
      </pivotArea>
    </format>
    <format dxfId="2865">
      <pivotArea field="0" dataOnly="0" labelOnly="1" grandRow="1" outline="0" axis="axisRow" fieldPosition="0">
        <references count="1">
          <reference field="4294967294" count="1" selected="0">
            <x v="34"/>
          </reference>
        </references>
      </pivotArea>
    </format>
    <format dxfId="2864">
      <pivotArea field="0" dataOnly="0" labelOnly="1" grandRow="1" outline="0" axis="axisRow" fieldPosition="0">
        <references count="1">
          <reference field="4294967294" count="1" selected="0">
            <x v="35"/>
          </reference>
        </references>
      </pivotArea>
    </format>
    <format dxfId="2863">
      <pivotArea field="0" dataOnly="0" labelOnly="1" grandRow="1" outline="0" axis="axisRow" fieldPosition="0">
        <references count="1">
          <reference field="4294967294" count="1" selected="0">
            <x v="0"/>
          </reference>
        </references>
      </pivotArea>
    </format>
    <format dxfId="2862">
      <pivotArea field="0" dataOnly="0" labelOnly="1" grandRow="1" outline="0" axis="axisRow" fieldPosition="0">
        <references count="1">
          <reference field="4294967294" count="1" selected="0">
            <x v="1"/>
          </reference>
        </references>
      </pivotArea>
    </format>
    <format dxfId="2861">
      <pivotArea field="0" dataOnly="0" labelOnly="1" grandRow="1" outline="0" axis="axisRow" fieldPosition="0">
        <references count="1">
          <reference field="4294967294" count="1" selected="0">
            <x v="2"/>
          </reference>
        </references>
      </pivotArea>
    </format>
    <format dxfId="2860">
      <pivotArea field="0" dataOnly="0" labelOnly="1" grandRow="1" outline="0" axis="axisRow" fieldPosition="0">
        <references count="1">
          <reference field="4294967294" count="1" selected="0">
            <x v="3"/>
          </reference>
        </references>
      </pivotArea>
    </format>
    <format dxfId="2859">
      <pivotArea field="0" dataOnly="0" labelOnly="1" grandRow="1" outline="0" axis="axisRow" fieldPosition="0">
        <references count="1">
          <reference field="4294967294" count="1" selected="0">
            <x v="4"/>
          </reference>
        </references>
      </pivotArea>
    </format>
    <format dxfId="2858">
      <pivotArea field="0" dataOnly="0" labelOnly="1" grandRow="1" outline="0" axis="axisRow" fieldPosition="0">
        <references count="1">
          <reference field="4294967294" count="1" selected="0">
            <x v="5"/>
          </reference>
        </references>
      </pivotArea>
    </format>
    <format dxfId="2857">
      <pivotArea field="0" dataOnly="0" labelOnly="1" grandRow="1" outline="0" axis="axisRow" fieldPosition="0">
        <references count="1">
          <reference field="4294967294" count="1" selected="0">
            <x v="6"/>
          </reference>
        </references>
      </pivotArea>
    </format>
    <format dxfId="2856">
      <pivotArea field="0" dataOnly="0" labelOnly="1" grandRow="1" outline="0" axis="axisRow" fieldPosition="0">
        <references count="1">
          <reference field="4294967294" count="1" selected="0">
            <x v="7"/>
          </reference>
        </references>
      </pivotArea>
    </format>
    <format dxfId="2855">
      <pivotArea field="0" dataOnly="0" labelOnly="1" grandRow="1" outline="0" axis="axisRow" fieldPosition="0">
        <references count="1">
          <reference field="4294967294" count="1" selected="0">
            <x v="8"/>
          </reference>
        </references>
      </pivotArea>
    </format>
    <format dxfId="2854">
      <pivotArea field="0" dataOnly="0" labelOnly="1" grandRow="1" outline="0" axis="axisRow" fieldPosition="0">
        <references count="1">
          <reference field="4294967294" count="1" selected="0">
            <x v="9"/>
          </reference>
        </references>
      </pivotArea>
    </format>
    <format dxfId="2853">
      <pivotArea field="0" dataOnly="0" labelOnly="1" grandRow="1" outline="0" axis="axisRow" fieldPosition="0">
        <references count="1">
          <reference field="4294967294" count="1" selected="0">
            <x v="10"/>
          </reference>
        </references>
      </pivotArea>
    </format>
    <format dxfId="2852">
      <pivotArea field="0" dataOnly="0" labelOnly="1" grandRow="1" outline="0" axis="axisRow" fieldPosition="0">
        <references count="1">
          <reference field="4294967294" count="1" selected="0">
            <x v="11"/>
          </reference>
        </references>
      </pivotArea>
    </format>
    <format dxfId="2851">
      <pivotArea field="0" dataOnly="0" labelOnly="1" grandRow="1" outline="0" axis="axisRow" fieldPosition="0">
        <references count="1">
          <reference field="4294967294" count="1" selected="0">
            <x v="12"/>
          </reference>
        </references>
      </pivotArea>
    </format>
    <format dxfId="2850">
      <pivotArea field="0" dataOnly="0" labelOnly="1" grandRow="1" outline="0" axis="axisRow" fieldPosition="0">
        <references count="1">
          <reference field="4294967294" count="1" selected="0">
            <x v="13"/>
          </reference>
        </references>
      </pivotArea>
    </format>
    <format dxfId="2849">
      <pivotArea field="0" dataOnly="0" labelOnly="1" grandRow="1" outline="0" axis="axisRow" fieldPosition="0">
        <references count="1">
          <reference field="4294967294" count="1" selected="0">
            <x v="14"/>
          </reference>
        </references>
      </pivotArea>
    </format>
    <format dxfId="2848">
      <pivotArea field="0" dataOnly="0" labelOnly="1" grandRow="1" outline="0" axis="axisRow" fieldPosition="0">
        <references count="1">
          <reference field="4294967294" count="1" selected="0">
            <x v="15"/>
          </reference>
        </references>
      </pivotArea>
    </format>
    <format dxfId="2847">
      <pivotArea field="0" dataOnly="0" labelOnly="1" grandRow="1" outline="0" axis="axisRow" fieldPosition="0">
        <references count="1">
          <reference field="4294967294" count="1" selected="0">
            <x v="16"/>
          </reference>
        </references>
      </pivotArea>
    </format>
    <format dxfId="2846">
      <pivotArea field="0" dataOnly="0" labelOnly="1" grandRow="1" outline="0" axis="axisRow" fieldPosition="0">
        <references count="1">
          <reference field="4294967294" count="1" selected="0">
            <x v="17"/>
          </reference>
        </references>
      </pivotArea>
    </format>
    <format dxfId="2845">
      <pivotArea field="0" dataOnly="0" labelOnly="1" grandRow="1" outline="0" axis="axisRow" fieldPosition="0">
        <references count="1">
          <reference field="4294967294" count="1" selected="0">
            <x v="18"/>
          </reference>
        </references>
      </pivotArea>
    </format>
    <format dxfId="2844">
      <pivotArea field="0" dataOnly="0" labelOnly="1" grandRow="1" outline="0" axis="axisRow" fieldPosition="0">
        <references count="1">
          <reference field="4294967294" count="1" selected="0">
            <x v="19"/>
          </reference>
        </references>
      </pivotArea>
    </format>
    <format dxfId="2843">
      <pivotArea field="0" dataOnly="0" labelOnly="1" grandRow="1" outline="0" axis="axisRow" fieldPosition="0">
        <references count="1">
          <reference field="4294967294" count="1" selected="0">
            <x v="20"/>
          </reference>
        </references>
      </pivotArea>
    </format>
    <format dxfId="2842">
      <pivotArea field="0" dataOnly="0" labelOnly="1" grandRow="1" outline="0" axis="axisRow" fieldPosition="0">
        <references count="1">
          <reference field="4294967294" count="1" selected="0">
            <x v="21"/>
          </reference>
        </references>
      </pivotArea>
    </format>
    <format dxfId="2841">
      <pivotArea field="0" dataOnly="0" labelOnly="1" grandRow="1" outline="0" axis="axisRow" fieldPosition="0">
        <references count="1">
          <reference field="4294967294" count="1" selected="0">
            <x v="22"/>
          </reference>
        </references>
      </pivotArea>
    </format>
    <format dxfId="2840">
      <pivotArea field="0" dataOnly="0" labelOnly="1" grandRow="1" outline="0" axis="axisRow" fieldPosition="0">
        <references count="1">
          <reference field="4294967294" count="1" selected="0">
            <x v="23"/>
          </reference>
        </references>
      </pivotArea>
    </format>
    <format dxfId="2839">
      <pivotArea field="0" dataOnly="0" labelOnly="1" grandRow="1" outline="0" axis="axisRow" fieldPosition="0">
        <references count="1">
          <reference field="4294967294" count="1" selected="0">
            <x v="24"/>
          </reference>
        </references>
      </pivotArea>
    </format>
    <format dxfId="2838">
      <pivotArea field="0" dataOnly="0" labelOnly="1" grandRow="1" outline="0" axis="axisRow" fieldPosition="0">
        <references count="1">
          <reference field="4294967294" count="1" selected="0">
            <x v="25"/>
          </reference>
        </references>
      </pivotArea>
    </format>
    <format dxfId="2837">
      <pivotArea field="0" dataOnly="0" labelOnly="1" grandRow="1" outline="0" axis="axisRow" fieldPosition="0">
        <references count="1">
          <reference field="4294967294" count="1" selected="0">
            <x v="26"/>
          </reference>
        </references>
      </pivotArea>
    </format>
    <format dxfId="2836">
      <pivotArea field="0" dataOnly="0" labelOnly="1" grandRow="1" outline="0" axis="axisRow" fieldPosition="0">
        <references count="1">
          <reference field="4294967294" count="1" selected="0">
            <x v="27"/>
          </reference>
        </references>
      </pivotArea>
    </format>
    <format dxfId="2835">
      <pivotArea field="0" dataOnly="0" labelOnly="1" grandRow="1" outline="0" axis="axisRow" fieldPosition="0">
        <references count="1">
          <reference field="4294967294" count="1" selected="0">
            <x v="28"/>
          </reference>
        </references>
      </pivotArea>
    </format>
    <format dxfId="2834">
      <pivotArea field="0" dataOnly="0" labelOnly="1" grandRow="1" outline="0" axis="axisRow" fieldPosition="0">
        <references count="1">
          <reference field="4294967294" count="1" selected="0">
            <x v="29"/>
          </reference>
        </references>
      </pivotArea>
    </format>
    <format dxfId="2833">
      <pivotArea field="0" dataOnly="0" labelOnly="1" grandRow="1" outline="0" axis="axisRow" fieldPosition="0">
        <references count="1">
          <reference field="4294967294" count="1" selected="0">
            <x v="30"/>
          </reference>
        </references>
      </pivotArea>
    </format>
    <format dxfId="2832">
      <pivotArea field="0" dataOnly="0" labelOnly="1" grandRow="1" outline="0" axis="axisRow" fieldPosition="0">
        <references count="1">
          <reference field="4294967294" count="1" selected="0">
            <x v="31"/>
          </reference>
        </references>
      </pivotArea>
    </format>
    <format dxfId="2831">
      <pivotArea field="0" dataOnly="0" labelOnly="1" grandRow="1" outline="0" axis="axisRow" fieldPosition="0">
        <references count="1">
          <reference field="4294967294" count="1" selected="0">
            <x v="32"/>
          </reference>
        </references>
      </pivotArea>
    </format>
    <format dxfId="2830">
      <pivotArea field="0" dataOnly="0" labelOnly="1" grandRow="1" outline="0" axis="axisRow" fieldPosition="0">
        <references count="1">
          <reference field="4294967294" count="1" selected="0">
            <x v="33"/>
          </reference>
        </references>
      </pivotArea>
    </format>
    <format dxfId="2829">
      <pivotArea field="0" dataOnly="0" labelOnly="1" grandRow="1" outline="0" axis="axisRow" fieldPosition="0">
        <references count="1">
          <reference field="4294967294" count="1" selected="0">
            <x v="34"/>
          </reference>
        </references>
      </pivotArea>
    </format>
    <format dxfId="2828">
      <pivotArea field="0" dataOnly="0" labelOnly="1" grandRow="1" outline="0" axis="axisRow" fieldPosition="0">
        <references count="1">
          <reference field="4294967294" count="1" selected="0">
            <x v="35"/>
          </reference>
        </references>
      </pivotArea>
    </format>
    <format dxfId="2827">
      <pivotArea field="0" dataOnly="0" labelOnly="1" grandRow="1" outline="0" axis="axisRow" fieldPosition="0">
        <references count="1">
          <reference field="4294967294" count="1" selected="0">
            <x v="0"/>
          </reference>
        </references>
      </pivotArea>
    </format>
    <format dxfId="2826">
      <pivotArea field="0" dataOnly="0" labelOnly="1" grandRow="1" outline="0" axis="axisRow" fieldPosition="0">
        <references count="1">
          <reference field="4294967294" count="1" selected="0">
            <x v="1"/>
          </reference>
        </references>
      </pivotArea>
    </format>
    <format dxfId="2825">
      <pivotArea field="0" dataOnly="0" labelOnly="1" grandRow="1" outline="0" axis="axisRow" fieldPosition="0">
        <references count="1">
          <reference field="4294967294" count="1" selected="0">
            <x v="2"/>
          </reference>
        </references>
      </pivotArea>
    </format>
    <format dxfId="2824">
      <pivotArea field="0" dataOnly="0" labelOnly="1" grandRow="1" outline="0" axis="axisRow" fieldPosition="0">
        <references count="1">
          <reference field="4294967294" count="1" selected="0">
            <x v="3"/>
          </reference>
        </references>
      </pivotArea>
    </format>
    <format dxfId="2823">
      <pivotArea field="0" dataOnly="0" labelOnly="1" grandRow="1" outline="0" axis="axisRow" fieldPosition="0">
        <references count="1">
          <reference field="4294967294" count="1" selected="0">
            <x v="4"/>
          </reference>
        </references>
      </pivotArea>
    </format>
    <format dxfId="2822">
      <pivotArea field="0" dataOnly="0" labelOnly="1" grandRow="1" outline="0" axis="axisRow" fieldPosition="0">
        <references count="1">
          <reference field="4294967294" count="1" selected="0">
            <x v="5"/>
          </reference>
        </references>
      </pivotArea>
    </format>
    <format dxfId="2821">
      <pivotArea field="0" dataOnly="0" labelOnly="1" grandRow="1" outline="0" axis="axisRow" fieldPosition="0">
        <references count="1">
          <reference field="4294967294" count="1" selected="0">
            <x v="6"/>
          </reference>
        </references>
      </pivotArea>
    </format>
    <format dxfId="2820">
      <pivotArea field="0" dataOnly="0" labelOnly="1" grandRow="1" outline="0" axis="axisRow" fieldPosition="0">
        <references count="1">
          <reference field="4294967294" count="1" selected="0">
            <x v="7"/>
          </reference>
        </references>
      </pivotArea>
    </format>
    <format dxfId="2819">
      <pivotArea field="0" dataOnly="0" labelOnly="1" grandRow="1" outline="0" axis="axisRow" fieldPosition="0">
        <references count="1">
          <reference field="4294967294" count="1" selected="0">
            <x v="8"/>
          </reference>
        </references>
      </pivotArea>
    </format>
    <format dxfId="2818">
      <pivotArea field="0" dataOnly="0" labelOnly="1" grandRow="1" outline="0" axis="axisRow" fieldPosition="0">
        <references count="1">
          <reference field="4294967294" count="1" selected="0">
            <x v="9"/>
          </reference>
        </references>
      </pivotArea>
    </format>
    <format dxfId="2817">
      <pivotArea field="0" dataOnly="0" labelOnly="1" grandRow="1" outline="0" axis="axisRow" fieldPosition="0">
        <references count="1">
          <reference field="4294967294" count="1" selected="0">
            <x v="10"/>
          </reference>
        </references>
      </pivotArea>
    </format>
    <format dxfId="2816">
      <pivotArea field="0" dataOnly="0" labelOnly="1" grandRow="1" outline="0" axis="axisRow" fieldPosition="0">
        <references count="1">
          <reference field="4294967294" count="1" selected="0">
            <x v="11"/>
          </reference>
        </references>
      </pivotArea>
    </format>
    <format dxfId="2815">
      <pivotArea field="0" dataOnly="0" labelOnly="1" grandRow="1" outline="0" axis="axisRow" fieldPosition="0">
        <references count="1">
          <reference field="4294967294" count="1" selected="0">
            <x v="12"/>
          </reference>
        </references>
      </pivotArea>
    </format>
    <format dxfId="2814">
      <pivotArea field="0" dataOnly="0" labelOnly="1" grandRow="1" outline="0" axis="axisRow" fieldPosition="0">
        <references count="1">
          <reference field="4294967294" count="1" selected="0">
            <x v="13"/>
          </reference>
        </references>
      </pivotArea>
    </format>
    <format dxfId="2813">
      <pivotArea field="0" dataOnly="0" labelOnly="1" grandRow="1" outline="0" axis="axisRow" fieldPosition="0">
        <references count="1">
          <reference field="4294967294" count="1" selected="0">
            <x v="14"/>
          </reference>
        </references>
      </pivotArea>
    </format>
    <format dxfId="2812">
      <pivotArea field="0" dataOnly="0" labelOnly="1" grandRow="1" outline="0" axis="axisRow" fieldPosition="0">
        <references count="1">
          <reference field="4294967294" count="1" selected="0">
            <x v="15"/>
          </reference>
        </references>
      </pivotArea>
    </format>
    <format dxfId="2811">
      <pivotArea field="0" dataOnly="0" labelOnly="1" grandRow="1" outline="0" axis="axisRow" fieldPosition="0">
        <references count="1">
          <reference field="4294967294" count="1" selected="0">
            <x v="16"/>
          </reference>
        </references>
      </pivotArea>
    </format>
    <format dxfId="2810">
      <pivotArea field="0" dataOnly="0" labelOnly="1" grandRow="1" outline="0" axis="axisRow" fieldPosition="0">
        <references count="1">
          <reference field="4294967294" count="1" selected="0">
            <x v="17"/>
          </reference>
        </references>
      </pivotArea>
    </format>
    <format dxfId="2809">
      <pivotArea field="0" dataOnly="0" labelOnly="1" grandRow="1" outline="0" axis="axisRow" fieldPosition="0">
        <references count="1">
          <reference field="4294967294" count="1" selected="0">
            <x v="18"/>
          </reference>
        </references>
      </pivotArea>
    </format>
    <format dxfId="2808">
      <pivotArea field="0" dataOnly="0" labelOnly="1" grandRow="1" outline="0" axis="axisRow" fieldPosition="0">
        <references count="1">
          <reference field="4294967294" count="1" selected="0">
            <x v="19"/>
          </reference>
        </references>
      </pivotArea>
    </format>
    <format dxfId="2807">
      <pivotArea field="0" dataOnly="0" labelOnly="1" grandRow="1" outline="0" axis="axisRow" fieldPosition="0">
        <references count="1">
          <reference field="4294967294" count="1" selected="0">
            <x v="20"/>
          </reference>
        </references>
      </pivotArea>
    </format>
    <format dxfId="2806">
      <pivotArea field="0" dataOnly="0" labelOnly="1" grandRow="1" outline="0" axis="axisRow" fieldPosition="0">
        <references count="1">
          <reference field="4294967294" count="1" selected="0">
            <x v="21"/>
          </reference>
        </references>
      </pivotArea>
    </format>
    <format dxfId="2805">
      <pivotArea field="0" dataOnly="0" labelOnly="1" grandRow="1" outline="0" axis="axisRow" fieldPosition="0">
        <references count="1">
          <reference field="4294967294" count="1" selected="0">
            <x v="22"/>
          </reference>
        </references>
      </pivotArea>
    </format>
    <format dxfId="2804">
      <pivotArea field="0" dataOnly="0" labelOnly="1" grandRow="1" outline="0" axis="axisRow" fieldPosition="0">
        <references count="1">
          <reference field="4294967294" count="1" selected="0">
            <x v="23"/>
          </reference>
        </references>
      </pivotArea>
    </format>
    <format dxfId="2803">
      <pivotArea field="0" dataOnly="0" labelOnly="1" grandRow="1" outline="0" axis="axisRow" fieldPosition="0">
        <references count="1">
          <reference field="4294967294" count="1" selected="0">
            <x v="24"/>
          </reference>
        </references>
      </pivotArea>
    </format>
    <format dxfId="2802">
      <pivotArea field="0" dataOnly="0" labelOnly="1" grandRow="1" outline="0" axis="axisRow" fieldPosition="0">
        <references count="1">
          <reference field="4294967294" count="1" selected="0">
            <x v="25"/>
          </reference>
        </references>
      </pivotArea>
    </format>
    <format dxfId="2801">
      <pivotArea field="0" dataOnly="0" labelOnly="1" grandRow="1" outline="0" axis="axisRow" fieldPosition="0">
        <references count="1">
          <reference field="4294967294" count="1" selected="0">
            <x v="26"/>
          </reference>
        </references>
      </pivotArea>
    </format>
    <format dxfId="2800">
      <pivotArea field="0" dataOnly="0" labelOnly="1" grandRow="1" outline="0" axis="axisRow" fieldPosition="0">
        <references count="1">
          <reference field="4294967294" count="1" selected="0">
            <x v="27"/>
          </reference>
        </references>
      </pivotArea>
    </format>
    <format dxfId="2799">
      <pivotArea field="0" dataOnly="0" labelOnly="1" grandRow="1" outline="0" axis="axisRow" fieldPosition="0">
        <references count="1">
          <reference field="4294967294" count="1" selected="0">
            <x v="28"/>
          </reference>
        </references>
      </pivotArea>
    </format>
    <format dxfId="2798">
      <pivotArea field="0" dataOnly="0" labelOnly="1" grandRow="1" outline="0" axis="axisRow" fieldPosition="0">
        <references count="1">
          <reference field="4294967294" count="1" selected="0">
            <x v="29"/>
          </reference>
        </references>
      </pivotArea>
    </format>
    <format dxfId="2797">
      <pivotArea field="0" dataOnly="0" labelOnly="1" grandRow="1" outline="0" axis="axisRow" fieldPosition="0">
        <references count="1">
          <reference field="4294967294" count="1" selected="0">
            <x v="30"/>
          </reference>
        </references>
      </pivotArea>
    </format>
    <format dxfId="2796">
      <pivotArea field="0" dataOnly="0" labelOnly="1" grandRow="1" outline="0" axis="axisRow" fieldPosition="0">
        <references count="1">
          <reference field="4294967294" count="1" selected="0">
            <x v="31"/>
          </reference>
        </references>
      </pivotArea>
    </format>
    <format dxfId="2795">
      <pivotArea field="0" dataOnly="0" labelOnly="1" grandRow="1" outline="0" axis="axisRow" fieldPosition="0">
        <references count="1">
          <reference field="4294967294" count="1" selected="0">
            <x v="32"/>
          </reference>
        </references>
      </pivotArea>
    </format>
    <format dxfId="2794">
      <pivotArea field="0" dataOnly="0" labelOnly="1" grandRow="1" outline="0" axis="axisRow" fieldPosition="0">
        <references count="1">
          <reference field="4294967294" count="1" selected="0">
            <x v="33"/>
          </reference>
        </references>
      </pivotArea>
    </format>
    <format dxfId="2793">
      <pivotArea field="0" dataOnly="0" labelOnly="1" grandRow="1" outline="0" axis="axisRow" fieldPosition="0">
        <references count="1">
          <reference field="4294967294" count="1" selected="0">
            <x v="34"/>
          </reference>
        </references>
      </pivotArea>
    </format>
    <format dxfId="2792">
      <pivotArea field="0" dataOnly="0" labelOnly="1" grandRow="1" outline="0" axis="axisRow" fieldPosition="0">
        <references count="1">
          <reference field="4294967294" count="1" selected="0">
            <x v="35"/>
          </reference>
        </references>
      </pivotArea>
    </format>
    <format dxfId="2791">
      <pivotArea field="0" dataOnly="0" labelOnly="1" grandRow="1" outline="0" axis="axisRow" fieldPosition="0">
        <references count="1">
          <reference field="4294967294" count="1" selected="0">
            <x v="0"/>
          </reference>
        </references>
      </pivotArea>
    </format>
    <format dxfId="2790">
      <pivotArea field="0" dataOnly="0" labelOnly="1" grandRow="1" outline="0" axis="axisRow" fieldPosition="0">
        <references count="1">
          <reference field="4294967294" count="1" selected="0">
            <x v="1"/>
          </reference>
        </references>
      </pivotArea>
    </format>
    <format dxfId="2789">
      <pivotArea field="0" dataOnly="0" labelOnly="1" grandRow="1" outline="0" axis="axisRow" fieldPosition="0">
        <references count="1">
          <reference field="4294967294" count="1" selected="0">
            <x v="2"/>
          </reference>
        </references>
      </pivotArea>
    </format>
    <format dxfId="2788">
      <pivotArea field="0" dataOnly="0" labelOnly="1" grandRow="1" outline="0" axis="axisRow" fieldPosition="0">
        <references count="1">
          <reference field="4294967294" count="1" selected="0">
            <x v="3"/>
          </reference>
        </references>
      </pivotArea>
    </format>
    <format dxfId="2787">
      <pivotArea field="0" dataOnly="0" labelOnly="1" grandRow="1" outline="0" axis="axisRow" fieldPosition="0">
        <references count="1">
          <reference field="4294967294" count="1" selected="0">
            <x v="4"/>
          </reference>
        </references>
      </pivotArea>
    </format>
    <format dxfId="2786">
      <pivotArea field="0" dataOnly="0" labelOnly="1" grandRow="1" outline="0" axis="axisRow" fieldPosition="0">
        <references count="1">
          <reference field="4294967294" count="1" selected="0">
            <x v="5"/>
          </reference>
        </references>
      </pivotArea>
    </format>
    <format dxfId="2785">
      <pivotArea field="0" dataOnly="0" labelOnly="1" grandRow="1" outline="0" axis="axisRow" fieldPosition="0">
        <references count="1">
          <reference field="4294967294" count="1" selected="0">
            <x v="6"/>
          </reference>
        </references>
      </pivotArea>
    </format>
    <format dxfId="2784">
      <pivotArea field="0" dataOnly="0" labelOnly="1" grandRow="1" outline="0" axis="axisRow" fieldPosition="0">
        <references count="1">
          <reference field="4294967294" count="1" selected="0">
            <x v="7"/>
          </reference>
        </references>
      </pivotArea>
    </format>
    <format dxfId="2783">
      <pivotArea field="0" dataOnly="0" labelOnly="1" grandRow="1" outline="0" axis="axisRow" fieldPosition="0">
        <references count="1">
          <reference field="4294967294" count="1" selected="0">
            <x v="8"/>
          </reference>
        </references>
      </pivotArea>
    </format>
    <format dxfId="2782">
      <pivotArea field="0" dataOnly="0" labelOnly="1" grandRow="1" outline="0" axis="axisRow" fieldPosition="0">
        <references count="1">
          <reference field="4294967294" count="1" selected="0">
            <x v="9"/>
          </reference>
        </references>
      </pivotArea>
    </format>
    <format dxfId="2781">
      <pivotArea field="0" dataOnly="0" labelOnly="1" grandRow="1" outline="0" axis="axisRow" fieldPosition="0">
        <references count="1">
          <reference field="4294967294" count="1" selected="0">
            <x v="10"/>
          </reference>
        </references>
      </pivotArea>
    </format>
    <format dxfId="2780">
      <pivotArea field="0" dataOnly="0" labelOnly="1" grandRow="1" outline="0" axis="axisRow" fieldPosition="0">
        <references count="1">
          <reference field="4294967294" count="1" selected="0">
            <x v="11"/>
          </reference>
        </references>
      </pivotArea>
    </format>
    <format dxfId="2779">
      <pivotArea field="0" dataOnly="0" labelOnly="1" grandRow="1" outline="0" axis="axisRow" fieldPosition="0">
        <references count="1">
          <reference field="4294967294" count="1" selected="0">
            <x v="12"/>
          </reference>
        </references>
      </pivotArea>
    </format>
    <format dxfId="2778">
      <pivotArea field="0" dataOnly="0" labelOnly="1" grandRow="1" outline="0" axis="axisRow" fieldPosition="0">
        <references count="1">
          <reference field="4294967294" count="1" selected="0">
            <x v="13"/>
          </reference>
        </references>
      </pivotArea>
    </format>
    <format dxfId="2777">
      <pivotArea field="0" dataOnly="0" labelOnly="1" grandRow="1" outline="0" axis="axisRow" fieldPosition="0">
        <references count="1">
          <reference field="4294967294" count="1" selected="0">
            <x v="14"/>
          </reference>
        </references>
      </pivotArea>
    </format>
    <format dxfId="2776">
      <pivotArea field="0" dataOnly="0" labelOnly="1" grandRow="1" outline="0" axis="axisRow" fieldPosition="0">
        <references count="1">
          <reference field="4294967294" count="1" selected="0">
            <x v="15"/>
          </reference>
        </references>
      </pivotArea>
    </format>
    <format dxfId="2775">
      <pivotArea field="0" dataOnly="0" labelOnly="1" grandRow="1" outline="0" axis="axisRow" fieldPosition="0">
        <references count="1">
          <reference field="4294967294" count="1" selected="0">
            <x v="16"/>
          </reference>
        </references>
      </pivotArea>
    </format>
    <format dxfId="2774">
      <pivotArea field="0" dataOnly="0" labelOnly="1" grandRow="1" outline="0" axis="axisRow" fieldPosition="0">
        <references count="1">
          <reference field="4294967294" count="1" selected="0">
            <x v="17"/>
          </reference>
        </references>
      </pivotArea>
    </format>
    <format dxfId="2773">
      <pivotArea field="0" dataOnly="0" labelOnly="1" grandRow="1" outline="0" axis="axisRow" fieldPosition="0">
        <references count="1">
          <reference field="4294967294" count="1" selected="0">
            <x v="18"/>
          </reference>
        </references>
      </pivotArea>
    </format>
    <format dxfId="2772">
      <pivotArea field="0" dataOnly="0" labelOnly="1" grandRow="1" outline="0" axis="axisRow" fieldPosition="0">
        <references count="1">
          <reference field="4294967294" count="1" selected="0">
            <x v="19"/>
          </reference>
        </references>
      </pivotArea>
    </format>
    <format dxfId="2771">
      <pivotArea field="0" dataOnly="0" labelOnly="1" grandRow="1" outline="0" axis="axisRow" fieldPosition="0">
        <references count="1">
          <reference field="4294967294" count="1" selected="0">
            <x v="20"/>
          </reference>
        </references>
      </pivotArea>
    </format>
    <format dxfId="2770">
      <pivotArea field="0" dataOnly="0" labelOnly="1" grandRow="1" outline="0" axis="axisRow" fieldPosition="0">
        <references count="1">
          <reference field="4294967294" count="1" selected="0">
            <x v="21"/>
          </reference>
        </references>
      </pivotArea>
    </format>
    <format dxfId="2769">
      <pivotArea field="0" dataOnly="0" labelOnly="1" grandRow="1" outline="0" axis="axisRow" fieldPosition="0">
        <references count="1">
          <reference field="4294967294" count="1" selected="0">
            <x v="22"/>
          </reference>
        </references>
      </pivotArea>
    </format>
    <format dxfId="2768">
      <pivotArea field="0" dataOnly="0" labelOnly="1" grandRow="1" outline="0" axis="axisRow" fieldPosition="0">
        <references count="1">
          <reference field="4294967294" count="1" selected="0">
            <x v="23"/>
          </reference>
        </references>
      </pivotArea>
    </format>
    <format dxfId="2767">
      <pivotArea field="0" dataOnly="0" labelOnly="1" grandRow="1" outline="0" axis="axisRow" fieldPosition="0">
        <references count="1">
          <reference field="4294967294" count="1" selected="0">
            <x v="24"/>
          </reference>
        </references>
      </pivotArea>
    </format>
    <format dxfId="2766">
      <pivotArea field="0" dataOnly="0" labelOnly="1" grandRow="1" outline="0" axis="axisRow" fieldPosition="0">
        <references count="1">
          <reference field="4294967294" count="1" selected="0">
            <x v="25"/>
          </reference>
        </references>
      </pivotArea>
    </format>
    <format dxfId="2765">
      <pivotArea field="0" dataOnly="0" labelOnly="1" grandRow="1" outline="0" axis="axisRow" fieldPosition="0">
        <references count="1">
          <reference field="4294967294" count="1" selected="0">
            <x v="26"/>
          </reference>
        </references>
      </pivotArea>
    </format>
    <format dxfId="2764">
      <pivotArea field="0" dataOnly="0" labelOnly="1" grandRow="1" outline="0" axis="axisRow" fieldPosition="0">
        <references count="1">
          <reference field="4294967294" count="1" selected="0">
            <x v="27"/>
          </reference>
        </references>
      </pivotArea>
    </format>
    <format dxfId="2763">
      <pivotArea field="0" dataOnly="0" labelOnly="1" grandRow="1" outline="0" axis="axisRow" fieldPosition="0">
        <references count="1">
          <reference field="4294967294" count="1" selected="0">
            <x v="28"/>
          </reference>
        </references>
      </pivotArea>
    </format>
    <format dxfId="2762">
      <pivotArea field="0" dataOnly="0" labelOnly="1" grandRow="1" outline="0" axis="axisRow" fieldPosition="0">
        <references count="1">
          <reference field="4294967294" count="1" selected="0">
            <x v="29"/>
          </reference>
        </references>
      </pivotArea>
    </format>
    <format dxfId="2761">
      <pivotArea field="0" dataOnly="0" labelOnly="1" grandRow="1" outline="0" axis="axisRow" fieldPosition="0">
        <references count="1">
          <reference field="4294967294" count="1" selected="0">
            <x v="30"/>
          </reference>
        </references>
      </pivotArea>
    </format>
    <format dxfId="2760">
      <pivotArea field="0" dataOnly="0" labelOnly="1" grandRow="1" outline="0" axis="axisRow" fieldPosition="0">
        <references count="1">
          <reference field="4294967294" count="1" selected="0">
            <x v="31"/>
          </reference>
        </references>
      </pivotArea>
    </format>
    <format dxfId="2759">
      <pivotArea field="0" dataOnly="0" labelOnly="1" grandRow="1" outline="0" axis="axisRow" fieldPosition="0">
        <references count="1">
          <reference field="4294967294" count="1" selected="0">
            <x v="32"/>
          </reference>
        </references>
      </pivotArea>
    </format>
    <format dxfId="2758">
      <pivotArea field="0" dataOnly="0" labelOnly="1" grandRow="1" outline="0" axis="axisRow" fieldPosition="0">
        <references count="1">
          <reference field="4294967294" count="1" selected="0">
            <x v="33"/>
          </reference>
        </references>
      </pivotArea>
    </format>
    <format dxfId="2757">
      <pivotArea field="0" dataOnly="0" labelOnly="1" grandRow="1" outline="0" axis="axisRow" fieldPosition="0">
        <references count="1">
          <reference field="4294967294" count="1" selected="0">
            <x v="34"/>
          </reference>
        </references>
      </pivotArea>
    </format>
    <format dxfId="2756">
      <pivotArea field="0" dataOnly="0" labelOnly="1" grandRow="1" outline="0" axis="axisRow" fieldPosition="0">
        <references count="1">
          <reference field="4294967294" count="1" selected="0">
            <x v="35"/>
          </reference>
        </references>
      </pivotArea>
    </format>
    <format dxfId="2755">
      <pivotArea field="0" dataOnly="0" labelOnly="1" grandRow="1" outline="0" axis="axisRow" fieldPosition="0">
        <references count="1">
          <reference field="4294967294" count="1" selected="0">
            <x v="0"/>
          </reference>
        </references>
      </pivotArea>
    </format>
    <format dxfId="2754">
      <pivotArea field="0" dataOnly="0" labelOnly="1" grandRow="1" outline="0" axis="axisRow" fieldPosition="0">
        <references count="1">
          <reference field="4294967294" count="1" selected="0">
            <x v="1"/>
          </reference>
        </references>
      </pivotArea>
    </format>
    <format dxfId="2753">
      <pivotArea field="0" dataOnly="0" labelOnly="1" grandRow="1" outline="0" axis="axisRow" fieldPosition="0">
        <references count="1">
          <reference field="4294967294" count="1" selected="0">
            <x v="2"/>
          </reference>
        </references>
      </pivotArea>
    </format>
    <format dxfId="2752">
      <pivotArea field="0" dataOnly="0" labelOnly="1" grandRow="1" outline="0" axis="axisRow" fieldPosition="0">
        <references count="1">
          <reference field="4294967294" count="1" selected="0">
            <x v="3"/>
          </reference>
        </references>
      </pivotArea>
    </format>
    <format dxfId="2751">
      <pivotArea field="0" dataOnly="0" labelOnly="1" grandRow="1" outline="0" axis="axisRow" fieldPosition="0">
        <references count="1">
          <reference field="4294967294" count="1" selected="0">
            <x v="4"/>
          </reference>
        </references>
      </pivotArea>
    </format>
    <format dxfId="2750">
      <pivotArea field="0" dataOnly="0" labelOnly="1" grandRow="1" outline="0" axis="axisRow" fieldPosition="0">
        <references count="1">
          <reference field="4294967294" count="1" selected="0">
            <x v="5"/>
          </reference>
        </references>
      </pivotArea>
    </format>
    <format dxfId="2749">
      <pivotArea field="0" dataOnly="0" labelOnly="1" grandRow="1" outline="0" axis="axisRow" fieldPosition="0">
        <references count="1">
          <reference field="4294967294" count="1" selected="0">
            <x v="6"/>
          </reference>
        </references>
      </pivotArea>
    </format>
    <format dxfId="2748">
      <pivotArea field="0" dataOnly="0" labelOnly="1" grandRow="1" outline="0" axis="axisRow" fieldPosition="0">
        <references count="1">
          <reference field="4294967294" count="1" selected="0">
            <x v="7"/>
          </reference>
        </references>
      </pivotArea>
    </format>
    <format dxfId="2747">
      <pivotArea field="0" dataOnly="0" labelOnly="1" grandRow="1" outline="0" axis="axisRow" fieldPosition="0">
        <references count="1">
          <reference field="4294967294" count="1" selected="0">
            <x v="8"/>
          </reference>
        </references>
      </pivotArea>
    </format>
    <format dxfId="2746">
      <pivotArea field="0" dataOnly="0" labelOnly="1" grandRow="1" outline="0" axis="axisRow" fieldPosition="0">
        <references count="1">
          <reference field="4294967294" count="1" selected="0">
            <x v="9"/>
          </reference>
        </references>
      </pivotArea>
    </format>
    <format dxfId="2745">
      <pivotArea field="0" dataOnly="0" labelOnly="1" grandRow="1" outline="0" axis="axisRow" fieldPosition="0">
        <references count="1">
          <reference field="4294967294" count="1" selected="0">
            <x v="10"/>
          </reference>
        </references>
      </pivotArea>
    </format>
    <format dxfId="2744">
      <pivotArea field="0" dataOnly="0" labelOnly="1" grandRow="1" outline="0" axis="axisRow" fieldPosition="0">
        <references count="1">
          <reference field="4294967294" count="1" selected="0">
            <x v="11"/>
          </reference>
        </references>
      </pivotArea>
    </format>
    <format dxfId="2743">
      <pivotArea field="0" dataOnly="0" labelOnly="1" grandRow="1" outline="0" axis="axisRow" fieldPosition="0">
        <references count="1">
          <reference field="4294967294" count="1" selected="0">
            <x v="12"/>
          </reference>
        </references>
      </pivotArea>
    </format>
    <format dxfId="2742">
      <pivotArea field="0" dataOnly="0" labelOnly="1" grandRow="1" outline="0" axis="axisRow" fieldPosition="0">
        <references count="1">
          <reference field="4294967294" count="1" selected="0">
            <x v="13"/>
          </reference>
        </references>
      </pivotArea>
    </format>
    <format dxfId="2741">
      <pivotArea field="0" dataOnly="0" labelOnly="1" grandRow="1" outline="0" axis="axisRow" fieldPosition="0">
        <references count="1">
          <reference field="4294967294" count="1" selected="0">
            <x v="14"/>
          </reference>
        </references>
      </pivotArea>
    </format>
    <format dxfId="2740">
      <pivotArea field="0" dataOnly="0" labelOnly="1" grandRow="1" outline="0" axis="axisRow" fieldPosition="0">
        <references count="1">
          <reference field="4294967294" count="1" selected="0">
            <x v="15"/>
          </reference>
        </references>
      </pivotArea>
    </format>
    <format dxfId="2739">
      <pivotArea field="0" dataOnly="0" labelOnly="1" grandRow="1" outline="0" axis="axisRow" fieldPosition="0">
        <references count="1">
          <reference field="4294967294" count="1" selected="0">
            <x v="16"/>
          </reference>
        </references>
      </pivotArea>
    </format>
    <format dxfId="2738">
      <pivotArea field="0" dataOnly="0" labelOnly="1" grandRow="1" outline="0" axis="axisRow" fieldPosition="0">
        <references count="1">
          <reference field="4294967294" count="1" selected="0">
            <x v="17"/>
          </reference>
        </references>
      </pivotArea>
    </format>
    <format dxfId="2737">
      <pivotArea field="0" dataOnly="0" labelOnly="1" grandRow="1" outline="0" axis="axisRow" fieldPosition="0">
        <references count="1">
          <reference field="4294967294" count="1" selected="0">
            <x v="18"/>
          </reference>
        </references>
      </pivotArea>
    </format>
    <format dxfId="2736">
      <pivotArea field="0" dataOnly="0" labelOnly="1" grandRow="1" outline="0" axis="axisRow" fieldPosition="0">
        <references count="1">
          <reference field="4294967294" count="1" selected="0">
            <x v="19"/>
          </reference>
        </references>
      </pivotArea>
    </format>
    <format dxfId="2735">
      <pivotArea field="0" dataOnly="0" labelOnly="1" grandRow="1" outline="0" axis="axisRow" fieldPosition="0">
        <references count="1">
          <reference field="4294967294" count="1" selected="0">
            <x v="20"/>
          </reference>
        </references>
      </pivotArea>
    </format>
    <format dxfId="2734">
      <pivotArea field="0" dataOnly="0" labelOnly="1" grandRow="1" outline="0" axis="axisRow" fieldPosition="0">
        <references count="1">
          <reference field="4294967294" count="1" selected="0">
            <x v="21"/>
          </reference>
        </references>
      </pivotArea>
    </format>
    <format dxfId="2733">
      <pivotArea field="0" dataOnly="0" labelOnly="1" grandRow="1" outline="0" axis="axisRow" fieldPosition="0">
        <references count="1">
          <reference field="4294967294" count="1" selected="0">
            <x v="22"/>
          </reference>
        </references>
      </pivotArea>
    </format>
    <format dxfId="2732">
      <pivotArea field="0" dataOnly="0" labelOnly="1" grandRow="1" outline="0" axis="axisRow" fieldPosition="0">
        <references count="1">
          <reference field="4294967294" count="1" selected="0">
            <x v="23"/>
          </reference>
        </references>
      </pivotArea>
    </format>
    <format dxfId="2731">
      <pivotArea field="0" dataOnly="0" labelOnly="1" grandRow="1" outline="0" axis="axisRow" fieldPosition="0">
        <references count="1">
          <reference field="4294967294" count="1" selected="0">
            <x v="24"/>
          </reference>
        </references>
      </pivotArea>
    </format>
    <format dxfId="2730">
      <pivotArea field="0" dataOnly="0" labelOnly="1" grandRow="1" outline="0" axis="axisRow" fieldPosition="0">
        <references count="1">
          <reference field="4294967294" count="1" selected="0">
            <x v="25"/>
          </reference>
        </references>
      </pivotArea>
    </format>
    <format dxfId="2729">
      <pivotArea field="0" dataOnly="0" labelOnly="1" grandRow="1" outline="0" axis="axisRow" fieldPosition="0">
        <references count="1">
          <reference field="4294967294" count="1" selected="0">
            <x v="26"/>
          </reference>
        </references>
      </pivotArea>
    </format>
    <format dxfId="2728">
      <pivotArea field="0" dataOnly="0" labelOnly="1" grandRow="1" outline="0" axis="axisRow" fieldPosition="0">
        <references count="1">
          <reference field="4294967294" count="1" selected="0">
            <x v="27"/>
          </reference>
        </references>
      </pivotArea>
    </format>
    <format dxfId="2727">
      <pivotArea field="0" dataOnly="0" labelOnly="1" grandRow="1" outline="0" axis="axisRow" fieldPosition="0">
        <references count="1">
          <reference field="4294967294" count="1" selected="0">
            <x v="28"/>
          </reference>
        </references>
      </pivotArea>
    </format>
    <format dxfId="2726">
      <pivotArea field="0" dataOnly="0" labelOnly="1" grandRow="1" outline="0" axis="axisRow" fieldPosition="0">
        <references count="1">
          <reference field="4294967294" count="1" selected="0">
            <x v="29"/>
          </reference>
        </references>
      </pivotArea>
    </format>
    <format dxfId="2725">
      <pivotArea field="0" dataOnly="0" labelOnly="1" grandRow="1" outline="0" axis="axisRow" fieldPosition="0">
        <references count="1">
          <reference field="4294967294" count="1" selected="0">
            <x v="30"/>
          </reference>
        </references>
      </pivotArea>
    </format>
    <format dxfId="2724">
      <pivotArea field="0" dataOnly="0" labelOnly="1" grandRow="1" outline="0" axis="axisRow" fieldPosition="0">
        <references count="1">
          <reference field="4294967294" count="1" selected="0">
            <x v="31"/>
          </reference>
        </references>
      </pivotArea>
    </format>
    <format dxfId="2723">
      <pivotArea field="0" dataOnly="0" labelOnly="1" grandRow="1" outline="0" axis="axisRow" fieldPosition="0">
        <references count="1">
          <reference field="4294967294" count="1" selected="0">
            <x v="32"/>
          </reference>
        </references>
      </pivotArea>
    </format>
    <format dxfId="2722">
      <pivotArea field="0" dataOnly="0" labelOnly="1" grandRow="1" outline="0" axis="axisRow" fieldPosition="0">
        <references count="1">
          <reference field="4294967294" count="1" selected="0">
            <x v="33"/>
          </reference>
        </references>
      </pivotArea>
    </format>
    <format dxfId="2721">
      <pivotArea field="0" dataOnly="0" labelOnly="1" grandRow="1" outline="0" axis="axisRow" fieldPosition="0">
        <references count="1">
          <reference field="4294967294" count="1" selected="0">
            <x v="34"/>
          </reference>
        </references>
      </pivotArea>
    </format>
    <format dxfId="2720">
      <pivotArea field="0" dataOnly="0" labelOnly="1" grandRow="1" outline="0" axis="axisRow" fieldPosition="0">
        <references count="1">
          <reference field="4294967294" count="1" selected="0">
            <x v="35"/>
          </reference>
        </references>
      </pivotArea>
    </format>
    <format dxfId="2719">
      <pivotArea field="0" dataOnly="0" labelOnly="1" grandRow="1" outline="0" axis="axisRow" fieldPosition="0">
        <references count="1">
          <reference field="4294967294" count="1" selected="0">
            <x v="0"/>
          </reference>
        </references>
      </pivotArea>
    </format>
    <format dxfId="2718">
      <pivotArea field="0" dataOnly="0" labelOnly="1" grandRow="1" outline="0" axis="axisRow" fieldPosition="0">
        <references count="1">
          <reference field="4294967294" count="1" selected="0">
            <x v="1"/>
          </reference>
        </references>
      </pivotArea>
    </format>
    <format dxfId="2717">
      <pivotArea field="0" dataOnly="0" labelOnly="1" grandRow="1" outline="0" axis="axisRow" fieldPosition="0">
        <references count="1">
          <reference field="4294967294" count="1" selected="0">
            <x v="2"/>
          </reference>
        </references>
      </pivotArea>
    </format>
    <format dxfId="2716">
      <pivotArea field="0" dataOnly="0" labelOnly="1" grandRow="1" outline="0" axis="axisRow" fieldPosition="0">
        <references count="1">
          <reference field="4294967294" count="1" selected="0">
            <x v="3"/>
          </reference>
        </references>
      </pivotArea>
    </format>
    <format dxfId="2715">
      <pivotArea field="0" dataOnly="0" labelOnly="1" grandRow="1" outline="0" axis="axisRow" fieldPosition="0">
        <references count="1">
          <reference field="4294967294" count="1" selected="0">
            <x v="4"/>
          </reference>
        </references>
      </pivotArea>
    </format>
    <format dxfId="2714">
      <pivotArea field="0" dataOnly="0" labelOnly="1" grandRow="1" outline="0" axis="axisRow" fieldPosition="0">
        <references count="1">
          <reference field="4294967294" count="1" selected="0">
            <x v="5"/>
          </reference>
        </references>
      </pivotArea>
    </format>
    <format dxfId="2713">
      <pivotArea field="0" dataOnly="0" labelOnly="1" grandRow="1" outline="0" axis="axisRow" fieldPosition="0">
        <references count="1">
          <reference field="4294967294" count="1" selected="0">
            <x v="6"/>
          </reference>
        </references>
      </pivotArea>
    </format>
    <format dxfId="2712">
      <pivotArea field="0" dataOnly="0" labelOnly="1" grandRow="1" outline="0" axis="axisRow" fieldPosition="0">
        <references count="1">
          <reference field="4294967294" count="1" selected="0">
            <x v="7"/>
          </reference>
        </references>
      </pivotArea>
    </format>
    <format dxfId="2711">
      <pivotArea field="0" dataOnly="0" labelOnly="1" grandRow="1" outline="0" axis="axisRow" fieldPosition="0">
        <references count="1">
          <reference field="4294967294" count="1" selected="0">
            <x v="8"/>
          </reference>
        </references>
      </pivotArea>
    </format>
    <format dxfId="2710">
      <pivotArea field="0" dataOnly="0" labelOnly="1" grandRow="1" outline="0" axis="axisRow" fieldPosition="0">
        <references count="1">
          <reference field="4294967294" count="1" selected="0">
            <x v="9"/>
          </reference>
        </references>
      </pivotArea>
    </format>
    <format dxfId="2709">
      <pivotArea field="0" dataOnly="0" labelOnly="1" grandRow="1" outline="0" axis="axisRow" fieldPosition="0">
        <references count="1">
          <reference field="4294967294" count="1" selected="0">
            <x v="10"/>
          </reference>
        </references>
      </pivotArea>
    </format>
    <format dxfId="2708">
      <pivotArea field="0" dataOnly="0" labelOnly="1" grandRow="1" outline="0" axis="axisRow" fieldPosition="0">
        <references count="1">
          <reference field="4294967294" count="1" selected="0">
            <x v="11"/>
          </reference>
        </references>
      </pivotArea>
    </format>
    <format dxfId="2707">
      <pivotArea field="0" dataOnly="0" labelOnly="1" grandRow="1" outline="0" axis="axisRow" fieldPosition="0">
        <references count="1">
          <reference field="4294967294" count="1" selected="0">
            <x v="12"/>
          </reference>
        </references>
      </pivotArea>
    </format>
    <format dxfId="2706">
      <pivotArea field="0" dataOnly="0" labelOnly="1" grandRow="1" outline="0" axis="axisRow" fieldPosition="0">
        <references count="1">
          <reference field="4294967294" count="1" selected="0">
            <x v="13"/>
          </reference>
        </references>
      </pivotArea>
    </format>
    <format dxfId="2705">
      <pivotArea field="0" dataOnly="0" labelOnly="1" grandRow="1" outline="0" axis="axisRow" fieldPosition="0">
        <references count="1">
          <reference field="4294967294" count="1" selected="0">
            <x v="14"/>
          </reference>
        </references>
      </pivotArea>
    </format>
    <format dxfId="2704">
      <pivotArea field="0" dataOnly="0" labelOnly="1" grandRow="1" outline="0" axis="axisRow" fieldPosition="0">
        <references count="1">
          <reference field="4294967294" count="1" selected="0">
            <x v="15"/>
          </reference>
        </references>
      </pivotArea>
    </format>
    <format dxfId="2703">
      <pivotArea field="0" dataOnly="0" labelOnly="1" grandRow="1" outline="0" axis="axisRow" fieldPosition="0">
        <references count="1">
          <reference field="4294967294" count="1" selected="0">
            <x v="16"/>
          </reference>
        </references>
      </pivotArea>
    </format>
    <format dxfId="2702">
      <pivotArea field="0" dataOnly="0" labelOnly="1" grandRow="1" outline="0" axis="axisRow" fieldPosition="0">
        <references count="1">
          <reference field="4294967294" count="1" selected="0">
            <x v="17"/>
          </reference>
        </references>
      </pivotArea>
    </format>
    <format dxfId="2701">
      <pivotArea field="0" dataOnly="0" labelOnly="1" grandRow="1" outline="0" axis="axisRow" fieldPosition="0">
        <references count="1">
          <reference field="4294967294" count="1" selected="0">
            <x v="18"/>
          </reference>
        </references>
      </pivotArea>
    </format>
    <format dxfId="2700">
      <pivotArea field="0" dataOnly="0" labelOnly="1" grandRow="1" outline="0" axis="axisRow" fieldPosition="0">
        <references count="1">
          <reference field="4294967294" count="1" selected="0">
            <x v="19"/>
          </reference>
        </references>
      </pivotArea>
    </format>
    <format dxfId="2699">
      <pivotArea field="0" dataOnly="0" labelOnly="1" grandRow="1" outline="0" axis="axisRow" fieldPosition="0">
        <references count="1">
          <reference field="4294967294" count="1" selected="0">
            <x v="20"/>
          </reference>
        </references>
      </pivotArea>
    </format>
    <format dxfId="2698">
      <pivotArea field="0" dataOnly="0" labelOnly="1" grandRow="1" outline="0" axis="axisRow" fieldPosition="0">
        <references count="1">
          <reference field="4294967294" count="1" selected="0">
            <x v="21"/>
          </reference>
        </references>
      </pivotArea>
    </format>
    <format dxfId="2697">
      <pivotArea field="0" dataOnly="0" labelOnly="1" grandRow="1" outline="0" axis="axisRow" fieldPosition="0">
        <references count="1">
          <reference field="4294967294" count="1" selected="0">
            <x v="22"/>
          </reference>
        </references>
      </pivotArea>
    </format>
    <format dxfId="2696">
      <pivotArea field="0" dataOnly="0" labelOnly="1" grandRow="1" outline="0" axis="axisRow" fieldPosition="0">
        <references count="1">
          <reference field="4294967294" count="1" selected="0">
            <x v="23"/>
          </reference>
        </references>
      </pivotArea>
    </format>
    <format dxfId="2695">
      <pivotArea field="0" dataOnly="0" labelOnly="1" grandRow="1" outline="0" axis="axisRow" fieldPosition="0">
        <references count="1">
          <reference field="4294967294" count="1" selected="0">
            <x v="24"/>
          </reference>
        </references>
      </pivotArea>
    </format>
    <format dxfId="2694">
      <pivotArea field="0" dataOnly="0" labelOnly="1" grandRow="1" outline="0" axis="axisRow" fieldPosition="0">
        <references count="1">
          <reference field="4294967294" count="1" selected="0">
            <x v="25"/>
          </reference>
        </references>
      </pivotArea>
    </format>
    <format dxfId="2693">
      <pivotArea field="0" dataOnly="0" labelOnly="1" grandRow="1" outline="0" axis="axisRow" fieldPosition="0">
        <references count="1">
          <reference field="4294967294" count="1" selected="0">
            <x v="26"/>
          </reference>
        </references>
      </pivotArea>
    </format>
    <format dxfId="2692">
      <pivotArea field="0" dataOnly="0" labelOnly="1" grandRow="1" outline="0" axis="axisRow" fieldPosition="0">
        <references count="1">
          <reference field="4294967294" count="1" selected="0">
            <x v="27"/>
          </reference>
        </references>
      </pivotArea>
    </format>
    <format dxfId="2691">
      <pivotArea field="0" dataOnly="0" labelOnly="1" grandRow="1" outline="0" axis="axisRow" fieldPosition="0">
        <references count="1">
          <reference field="4294967294" count="1" selected="0">
            <x v="28"/>
          </reference>
        </references>
      </pivotArea>
    </format>
    <format dxfId="2690">
      <pivotArea field="0" dataOnly="0" labelOnly="1" grandRow="1" outline="0" axis="axisRow" fieldPosition="0">
        <references count="1">
          <reference field="4294967294" count="1" selected="0">
            <x v="29"/>
          </reference>
        </references>
      </pivotArea>
    </format>
    <format dxfId="2689">
      <pivotArea field="0" dataOnly="0" labelOnly="1" grandRow="1" outline="0" axis="axisRow" fieldPosition="0">
        <references count="1">
          <reference field="4294967294" count="1" selected="0">
            <x v="30"/>
          </reference>
        </references>
      </pivotArea>
    </format>
    <format dxfId="2688">
      <pivotArea field="0" dataOnly="0" labelOnly="1" grandRow="1" outline="0" axis="axisRow" fieldPosition="0">
        <references count="1">
          <reference field="4294967294" count="1" selected="0">
            <x v="31"/>
          </reference>
        </references>
      </pivotArea>
    </format>
    <format dxfId="2687">
      <pivotArea field="0" dataOnly="0" labelOnly="1" grandRow="1" outline="0" axis="axisRow" fieldPosition="0">
        <references count="1">
          <reference field="4294967294" count="1" selected="0">
            <x v="32"/>
          </reference>
        </references>
      </pivotArea>
    </format>
    <format dxfId="2686">
      <pivotArea field="0" dataOnly="0" labelOnly="1" grandRow="1" outline="0" axis="axisRow" fieldPosition="0">
        <references count="1">
          <reference field="4294967294" count="1" selected="0">
            <x v="33"/>
          </reference>
        </references>
      </pivotArea>
    </format>
    <format dxfId="2685">
      <pivotArea field="0" dataOnly="0" labelOnly="1" grandRow="1" outline="0" axis="axisRow" fieldPosition="0">
        <references count="1">
          <reference field="4294967294" count="1" selected="0">
            <x v="34"/>
          </reference>
        </references>
      </pivotArea>
    </format>
    <format dxfId="2684">
      <pivotArea field="0" dataOnly="0" labelOnly="1" grandRow="1" outline="0" axis="axisRow" fieldPosition="0">
        <references count="1">
          <reference field="4294967294" count="1" selected="0">
            <x v="35"/>
          </reference>
        </references>
      </pivotArea>
    </format>
    <format dxfId="2683">
      <pivotArea field="0" dataOnly="0" labelOnly="1" grandRow="1" outline="0" axis="axisRow" fieldPosition="0">
        <references count="1">
          <reference field="4294967294" count="1" selected="0">
            <x v="0"/>
          </reference>
        </references>
      </pivotArea>
    </format>
    <format dxfId="2682">
      <pivotArea field="0" dataOnly="0" labelOnly="1" grandRow="1" outline="0" axis="axisRow" fieldPosition="0">
        <references count="1">
          <reference field="4294967294" count="1" selected="0">
            <x v="1"/>
          </reference>
        </references>
      </pivotArea>
    </format>
    <format dxfId="2681">
      <pivotArea field="0" dataOnly="0" labelOnly="1" grandRow="1" outline="0" axis="axisRow" fieldPosition="0">
        <references count="1">
          <reference field="4294967294" count="1" selected="0">
            <x v="2"/>
          </reference>
        </references>
      </pivotArea>
    </format>
    <format dxfId="2680">
      <pivotArea field="0" dataOnly="0" labelOnly="1" grandRow="1" outline="0" axis="axisRow" fieldPosition="0">
        <references count="1">
          <reference field="4294967294" count="1" selected="0">
            <x v="3"/>
          </reference>
        </references>
      </pivotArea>
    </format>
    <format dxfId="2679">
      <pivotArea field="0" dataOnly="0" labelOnly="1" grandRow="1" outline="0" axis="axisRow" fieldPosition="0">
        <references count="1">
          <reference field="4294967294" count="1" selected="0">
            <x v="4"/>
          </reference>
        </references>
      </pivotArea>
    </format>
    <format dxfId="2678">
      <pivotArea field="0" dataOnly="0" labelOnly="1" grandRow="1" outline="0" axis="axisRow" fieldPosition="0">
        <references count="1">
          <reference field="4294967294" count="1" selected="0">
            <x v="5"/>
          </reference>
        </references>
      </pivotArea>
    </format>
    <format dxfId="2677">
      <pivotArea field="0" dataOnly="0" labelOnly="1" grandRow="1" outline="0" axis="axisRow" fieldPosition="0">
        <references count="1">
          <reference field="4294967294" count="1" selected="0">
            <x v="6"/>
          </reference>
        </references>
      </pivotArea>
    </format>
    <format dxfId="2676">
      <pivotArea field="0" dataOnly="0" labelOnly="1" grandRow="1" outline="0" axis="axisRow" fieldPosition="0">
        <references count="1">
          <reference field="4294967294" count="1" selected="0">
            <x v="7"/>
          </reference>
        </references>
      </pivotArea>
    </format>
    <format dxfId="2675">
      <pivotArea field="0" dataOnly="0" labelOnly="1" grandRow="1" outline="0" axis="axisRow" fieldPosition="0">
        <references count="1">
          <reference field="4294967294" count="1" selected="0">
            <x v="8"/>
          </reference>
        </references>
      </pivotArea>
    </format>
    <format dxfId="2674">
      <pivotArea field="0" dataOnly="0" labelOnly="1" grandRow="1" outline="0" axis="axisRow" fieldPosition="0">
        <references count="1">
          <reference field="4294967294" count="1" selected="0">
            <x v="9"/>
          </reference>
        </references>
      </pivotArea>
    </format>
    <format dxfId="2673">
      <pivotArea field="0" dataOnly="0" labelOnly="1" grandRow="1" outline="0" axis="axisRow" fieldPosition="0">
        <references count="1">
          <reference field="4294967294" count="1" selected="0">
            <x v="10"/>
          </reference>
        </references>
      </pivotArea>
    </format>
    <format dxfId="2672">
      <pivotArea field="0" dataOnly="0" labelOnly="1" grandRow="1" outline="0" axis="axisRow" fieldPosition="0">
        <references count="1">
          <reference field="4294967294" count="1" selected="0">
            <x v="11"/>
          </reference>
        </references>
      </pivotArea>
    </format>
    <format dxfId="2671">
      <pivotArea field="0" dataOnly="0" labelOnly="1" grandRow="1" outline="0" axis="axisRow" fieldPosition="0">
        <references count="1">
          <reference field="4294967294" count="1" selected="0">
            <x v="12"/>
          </reference>
        </references>
      </pivotArea>
    </format>
    <format dxfId="2670">
      <pivotArea field="0" dataOnly="0" labelOnly="1" grandRow="1" outline="0" axis="axisRow" fieldPosition="0">
        <references count="1">
          <reference field="4294967294" count="1" selected="0">
            <x v="13"/>
          </reference>
        </references>
      </pivotArea>
    </format>
    <format dxfId="2669">
      <pivotArea field="0" dataOnly="0" labelOnly="1" grandRow="1" outline="0" axis="axisRow" fieldPosition="0">
        <references count="1">
          <reference field="4294967294" count="1" selected="0">
            <x v="14"/>
          </reference>
        </references>
      </pivotArea>
    </format>
    <format dxfId="2668">
      <pivotArea field="0" dataOnly="0" labelOnly="1" grandRow="1" outline="0" axis="axisRow" fieldPosition="0">
        <references count="1">
          <reference field="4294967294" count="1" selected="0">
            <x v="15"/>
          </reference>
        </references>
      </pivotArea>
    </format>
    <format dxfId="2667">
      <pivotArea field="0" dataOnly="0" labelOnly="1" grandRow="1" outline="0" axis="axisRow" fieldPosition="0">
        <references count="1">
          <reference field="4294967294" count="1" selected="0">
            <x v="16"/>
          </reference>
        </references>
      </pivotArea>
    </format>
    <format dxfId="2666">
      <pivotArea field="0" dataOnly="0" labelOnly="1" grandRow="1" outline="0" axis="axisRow" fieldPosition="0">
        <references count="1">
          <reference field="4294967294" count="1" selected="0">
            <x v="17"/>
          </reference>
        </references>
      </pivotArea>
    </format>
    <format dxfId="2665">
      <pivotArea field="0" dataOnly="0" labelOnly="1" grandRow="1" outline="0" axis="axisRow" fieldPosition="0">
        <references count="1">
          <reference field="4294967294" count="1" selected="0">
            <x v="18"/>
          </reference>
        </references>
      </pivotArea>
    </format>
    <format dxfId="2664">
      <pivotArea field="0" dataOnly="0" labelOnly="1" grandRow="1" outline="0" axis="axisRow" fieldPosition="0">
        <references count="1">
          <reference field="4294967294" count="1" selected="0">
            <x v="19"/>
          </reference>
        </references>
      </pivotArea>
    </format>
    <format dxfId="2663">
      <pivotArea field="0" dataOnly="0" labelOnly="1" grandRow="1" outline="0" axis="axisRow" fieldPosition="0">
        <references count="1">
          <reference field="4294967294" count="1" selected="0">
            <x v="20"/>
          </reference>
        </references>
      </pivotArea>
    </format>
    <format dxfId="2662">
      <pivotArea field="0" dataOnly="0" labelOnly="1" grandRow="1" outline="0" axis="axisRow" fieldPosition="0">
        <references count="1">
          <reference field="4294967294" count="1" selected="0">
            <x v="21"/>
          </reference>
        </references>
      </pivotArea>
    </format>
    <format dxfId="2661">
      <pivotArea field="0" dataOnly="0" labelOnly="1" grandRow="1" outline="0" axis="axisRow" fieldPosition="0">
        <references count="1">
          <reference field="4294967294" count="1" selected="0">
            <x v="22"/>
          </reference>
        </references>
      </pivotArea>
    </format>
    <format dxfId="2660">
      <pivotArea field="0" dataOnly="0" labelOnly="1" grandRow="1" outline="0" axis="axisRow" fieldPosition="0">
        <references count="1">
          <reference field="4294967294" count="1" selected="0">
            <x v="23"/>
          </reference>
        </references>
      </pivotArea>
    </format>
    <format dxfId="2659">
      <pivotArea field="0" dataOnly="0" labelOnly="1" grandRow="1" outline="0" axis="axisRow" fieldPosition="0">
        <references count="1">
          <reference field="4294967294" count="1" selected="0">
            <x v="24"/>
          </reference>
        </references>
      </pivotArea>
    </format>
    <format dxfId="2658">
      <pivotArea field="0" dataOnly="0" labelOnly="1" grandRow="1" outline="0" axis="axisRow" fieldPosition="0">
        <references count="1">
          <reference field="4294967294" count="1" selected="0">
            <x v="25"/>
          </reference>
        </references>
      </pivotArea>
    </format>
    <format dxfId="2657">
      <pivotArea field="0" dataOnly="0" labelOnly="1" grandRow="1" outline="0" axis="axisRow" fieldPosition="0">
        <references count="1">
          <reference field="4294967294" count="1" selected="0">
            <x v="26"/>
          </reference>
        </references>
      </pivotArea>
    </format>
    <format dxfId="2656">
      <pivotArea field="0" dataOnly="0" labelOnly="1" grandRow="1" outline="0" axis="axisRow" fieldPosition="0">
        <references count="1">
          <reference field="4294967294" count="1" selected="0">
            <x v="27"/>
          </reference>
        </references>
      </pivotArea>
    </format>
    <format dxfId="2655">
      <pivotArea field="0" dataOnly="0" labelOnly="1" grandRow="1" outline="0" axis="axisRow" fieldPosition="0">
        <references count="1">
          <reference field="4294967294" count="1" selected="0">
            <x v="28"/>
          </reference>
        </references>
      </pivotArea>
    </format>
    <format dxfId="2654">
      <pivotArea field="0" dataOnly="0" labelOnly="1" grandRow="1" outline="0" axis="axisRow" fieldPosition="0">
        <references count="1">
          <reference field="4294967294" count="1" selected="0">
            <x v="29"/>
          </reference>
        </references>
      </pivotArea>
    </format>
    <format dxfId="2653">
      <pivotArea field="0" dataOnly="0" labelOnly="1" grandRow="1" outline="0" axis="axisRow" fieldPosition="0">
        <references count="1">
          <reference field="4294967294" count="1" selected="0">
            <x v="30"/>
          </reference>
        </references>
      </pivotArea>
    </format>
    <format dxfId="2652">
      <pivotArea field="0" dataOnly="0" labelOnly="1" grandRow="1" outline="0" axis="axisRow" fieldPosition="0">
        <references count="1">
          <reference field="4294967294" count="1" selected="0">
            <x v="31"/>
          </reference>
        </references>
      </pivotArea>
    </format>
    <format dxfId="2651">
      <pivotArea field="0" dataOnly="0" labelOnly="1" grandRow="1" outline="0" axis="axisRow" fieldPosition="0">
        <references count="1">
          <reference field="4294967294" count="1" selected="0">
            <x v="32"/>
          </reference>
        </references>
      </pivotArea>
    </format>
    <format dxfId="2650">
      <pivotArea field="0" dataOnly="0" labelOnly="1" grandRow="1" outline="0" axis="axisRow" fieldPosition="0">
        <references count="1">
          <reference field="4294967294" count="1" selected="0">
            <x v="33"/>
          </reference>
        </references>
      </pivotArea>
    </format>
    <format dxfId="2649">
      <pivotArea field="0" dataOnly="0" labelOnly="1" grandRow="1" outline="0" axis="axisRow" fieldPosition="0">
        <references count="1">
          <reference field="4294967294" count="1" selected="0">
            <x v="34"/>
          </reference>
        </references>
      </pivotArea>
    </format>
    <format dxfId="2648">
      <pivotArea field="0" dataOnly="0" labelOnly="1" grandRow="1" outline="0" axis="axisRow" fieldPosition="0">
        <references count="1">
          <reference field="4294967294" count="1" selected="0">
            <x v="35"/>
          </reference>
        </references>
      </pivotArea>
    </format>
    <format dxfId="2647">
      <pivotArea field="0" dataOnly="0" labelOnly="1" grandRow="1" outline="0" axis="axisRow" fieldPosition="0">
        <references count="1">
          <reference field="4294967294" count="1" selected="0">
            <x v="0"/>
          </reference>
        </references>
      </pivotArea>
    </format>
    <format dxfId="2646">
      <pivotArea field="0" dataOnly="0" labelOnly="1" grandRow="1" outline="0" axis="axisRow" fieldPosition="0">
        <references count="1">
          <reference field="4294967294" count="1" selected="0">
            <x v="1"/>
          </reference>
        </references>
      </pivotArea>
    </format>
    <format dxfId="2645">
      <pivotArea field="0" dataOnly="0" labelOnly="1" grandRow="1" outline="0" axis="axisRow" fieldPosition="0">
        <references count="1">
          <reference field="4294967294" count="1" selected="0">
            <x v="2"/>
          </reference>
        </references>
      </pivotArea>
    </format>
    <format dxfId="2644">
      <pivotArea field="0" dataOnly="0" labelOnly="1" grandRow="1" outline="0" axis="axisRow" fieldPosition="0">
        <references count="1">
          <reference field="4294967294" count="1" selected="0">
            <x v="3"/>
          </reference>
        </references>
      </pivotArea>
    </format>
    <format dxfId="2643">
      <pivotArea field="0" dataOnly="0" labelOnly="1" grandRow="1" outline="0" axis="axisRow" fieldPosition="0">
        <references count="1">
          <reference field="4294967294" count="1" selected="0">
            <x v="4"/>
          </reference>
        </references>
      </pivotArea>
    </format>
    <format dxfId="2642">
      <pivotArea field="0" dataOnly="0" labelOnly="1" grandRow="1" outline="0" axis="axisRow" fieldPosition="0">
        <references count="1">
          <reference field="4294967294" count="1" selected="0">
            <x v="5"/>
          </reference>
        </references>
      </pivotArea>
    </format>
    <format dxfId="2641">
      <pivotArea field="0" dataOnly="0" labelOnly="1" grandRow="1" outline="0" axis="axisRow" fieldPosition="0">
        <references count="1">
          <reference field="4294967294" count="1" selected="0">
            <x v="6"/>
          </reference>
        </references>
      </pivotArea>
    </format>
    <format dxfId="2640">
      <pivotArea field="0" dataOnly="0" labelOnly="1" grandRow="1" outline="0" axis="axisRow" fieldPosition="0">
        <references count="1">
          <reference field="4294967294" count="1" selected="0">
            <x v="7"/>
          </reference>
        </references>
      </pivotArea>
    </format>
    <format dxfId="2639">
      <pivotArea field="0" dataOnly="0" labelOnly="1" grandRow="1" outline="0" axis="axisRow" fieldPosition="0">
        <references count="1">
          <reference field="4294967294" count="1" selected="0">
            <x v="8"/>
          </reference>
        </references>
      </pivotArea>
    </format>
    <format dxfId="2638">
      <pivotArea field="0" dataOnly="0" labelOnly="1" grandRow="1" outline="0" axis="axisRow" fieldPosition="0">
        <references count="1">
          <reference field="4294967294" count="1" selected="0">
            <x v="9"/>
          </reference>
        </references>
      </pivotArea>
    </format>
    <format dxfId="2637">
      <pivotArea field="0" dataOnly="0" labelOnly="1" grandRow="1" outline="0" axis="axisRow" fieldPosition="0">
        <references count="1">
          <reference field="4294967294" count="1" selected="0">
            <x v="10"/>
          </reference>
        </references>
      </pivotArea>
    </format>
    <format dxfId="2636">
      <pivotArea field="0" dataOnly="0" labelOnly="1" grandRow="1" outline="0" axis="axisRow" fieldPosition="0">
        <references count="1">
          <reference field="4294967294" count="1" selected="0">
            <x v="11"/>
          </reference>
        </references>
      </pivotArea>
    </format>
    <format dxfId="2635">
      <pivotArea field="0" dataOnly="0" labelOnly="1" grandRow="1" outline="0" axis="axisRow" fieldPosition="0">
        <references count="1">
          <reference field="4294967294" count="1" selected="0">
            <x v="12"/>
          </reference>
        </references>
      </pivotArea>
    </format>
    <format dxfId="2634">
      <pivotArea field="0" dataOnly="0" labelOnly="1" grandRow="1" outline="0" axis="axisRow" fieldPosition="0">
        <references count="1">
          <reference field="4294967294" count="1" selected="0">
            <x v="13"/>
          </reference>
        </references>
      </pivotArea>
    </format>
    <format dxfId="2633">
      <pivotArea field="0" dataOnly="0" labelOnly="1" grandRow="1" outline="0" axis="axisRow" fieldPosition="0">
        <references count="1">
          <reference field="4294967294" count="1" selected="0">
            <x v="14"/>
          </reference>
        </references>
      </pivotArea>
    </format>
    <format dxfId="2632">
      <pivotArea field="0" dataOnly="0" labelOnly="1" grandRow="1" outline="0" axis="axisRow" fieldPosition="0">
        <references count="1">
          <reference field="4294967294" count="1" selected="0">
            <x v="15"/>
          </reference>
        </references>
      </pivotArea>
    </format>
    <format dxfId="2631">
      <pivotArea field="0" dataOnly="0" labelOnly="1" grandRow="1" outline="0" axis="axisRow" fieldPosition="0">
        <references count="1">
          <reference field="4294967294" count="1" selected="0">
            <x v="16"/>
          </reference>
        </references>
      </pivotArea>
    </format>
    <format dxfId="2630">
      <pivotArea field="0" dataOnly="0" labelOnly="1" grandRow="1" outline="0" axis="axisRow" fieldPosition="0">
        <references count="1">
          <reference field="4294967294" count="1" selected="0">
            <x v="17"/>
          </reference>
        </references>
      </pivotArea>
    </format>
    <format dxfId="2629">
      <pivotArea field="0" dataOnly="0" labelOnly="1" grandRow="1" outline="0" axis="axisRow" fieldPosition="0">
        <references count="1">
          <reference field="4294967294" count="1" selected="0">
            <x v="18"/>
          </reference>
        </references>
      </pivotArea>
    </format>
    <format dxfId="2628">
      <pivotArea field="0" dataOnly="0" labelOnly="1" grandRow="1" outline="0" axis="axisRow" fieldPosition="0">
        <references count="1">
          <reference field="4294967294" count="1" selected="0">
            <x v="19"/>
          </reference>
        </references>
      </pivotArea>
    </format>
    <format dxfId="2627">
      <pivotArea field="0" dataOnly="0" labelOnly="1" grandRow="1" outline="0" axis="axisRow" fieldPosition="0">
        <references count="1">
          <reference field="4294967294" count="1" selected="0">
            <x v="20"/>
          </reference>
        </references>
      </pivotArea>
    </format>
    <format dxfId="2626">
      <pivotArea field="0" dataOnly="0" labelOnly="1" grandRow="1" outline="0" axis="axisRow" fieldPosition="0">
        <references count="1">
          <reference field="4294967294" count="1" selected="0">
            <x v="21"/>
          </reference>
        </references>
      </pivotArea>
    </format>
    <format dxfId="2625">
      <pivotArea field="0" dataOnly="0" labelOnly="1" grandRow="1" outline="0" axis="axisRow" fieldPosition="0">
        <references count="1">
          <reference field="4294967294" count="1" selected="0">
            <x v="22"/>
          </reference>
        </references>
      </pivotArea>
    </format>
    <format dxfId="2624">
      <pivotArea field="0" dataOnly="0" labelOnly="1" grandRow="1" outline="0" axis="axisRow" fieldPosition="0">
        <references count="1">
          <reference field="4294967294" count="1" selected="0">
            <x v="23"/>
          </reference>
        </references>
      </pivotArea>
    </format>
    <format dxfId="2623">
      <pivotArea field="0" dataOnly="0" labelOnly="1" grandRow="1" outline="0" axis="axisRow" fieldPosition="0">
        <references count="1">
          <reference field="4294967294" count="1" selected="0">
            <x v="24"/>
          </reference>
        </references>
      </pivotArea>
    </format>
    <format dxfId="2622">
      <pivotArea field="0" dataOnly="0" labelOnly="1" grandRow="1" outline="0" axis="axisRow" fieldPosition="0">
        <references count="1">
          <reference field="4294967294" count="1" selected="0">
            <x v="25"/>
          </reference>
        </references>
      </pivotArea>
    </format>
    <format dxfId="2621">
      <pivotArea field="0" dataOnly="0" labelOnly="1" grandRow="1" outline="0" axis="axisRow" fieldPosition="0">
        <references count="1">
          <reference field="4294967294" count="1" selected="0">
            <x v="26"/>
          </reference>
        </references>
      </pivotArea>
    </format>
    <format dxfId="2620">
      <pivotArea field="0" dataOnly="0" labelOnly="1" grandRow="1" outline="0" axis="axisRow" fieldPosition="0">
        <references count="1">
          <reference field="4294967294" count="1" selected="0">
            <x v="27"/>
          </reference>
        </references>
      </pivotArea>
    </format>
    <format dxfId="2619">
      <pivotArea field="0" dataOnly="0" labelOnly="1" grandRow="1" outline="0" axis="axisRow" fieldPosition="0">
        <references count="1">
          <reference field="4294967294" count="1" selected="0">
            <x v="28"/>
          </reference>
        </references>
      </pivotArea>
    </format>
    <format dxfId="2618">
      <pivotArea field="0" dataOnly="0" labelOnly="1" grandRow="1" outline="0" axis="axisRow" fieldPosition="0">
        <references count="1">
          <reference field="4294967294" count="1" selected="0">
            <x v="29"/>
          </reference>
        </references>
      </pivotArea>
    </format>
    <format dxfId="2617">
      <pivotArea field="0" dataOnly="0" labelOnly="1" grandRow="1" outline="0" axis="axisRow" fieldPosition="0">
        <references count="1">
          <reference field="4294967294" count="1" selected="0">
            <x v="30"/>
          </reference>
        </references>
      </pivotArea>
    </format>
    <format dxfId="2616">
      <pivotArea field="0" dataOnly="0" labelOnly="1" grandRow="1" outline="0" axis="axisRow" fieldPosition="0">
        <references count="1">
          <reference field="4294967294" count="1" selected="0">
            <x v="31"/>
          </reference>
        </references>
      </pivotArea>
    </format>
    <format dxfId="2615">
      <pivotArea field="0" dataOnly="0" labelOnly="1" grandRow="1" outline="0" axis="axisRow" fieldPosition="0">
        <references count="1">
          <reference field="4294967294" count="1" selected="0">
            <x v="32"/>
          </reference>
        </references>
      </pivotArea>
    </format>
    <format dxfId="2614">
      <pivotArea field="0" dataOnly="0" labelOnly="1" grandRow="1" outline="0" axis="axisRow" fieldPosition="0">
        <references count="1">
          <reference field="4294967294" count="1" selected="0">
            <x v="33"/>
          </reference>
        </references>
      </pivotArea>
    </format>
    <format dxfId="2613">
      <pivotArea field="0" dataOnly="0" labelOnly="1" grandRow="1" outline="0" axis="axisRow" fieldPosition="0">
        <references count="1">
          <reference field="4294967294" count="1" selected="0">
            <x v="34"/>
          </reference>
        </references>
      </pivotArea>
    </format>
    <format dxfId="2612">
      <pivotArea field="0" dataOnly="0" labelOnly="1" grandRow="1" outline="0" axis="axisRow" fieldPosition="0">
        <references count="1">
          <reference field="4294967294" count="1" selected="0">
            <x v="35"/>
          </reference>
        </references>
      </pivotArea>
    </format>
    <format dxfId="2611">
      <pivotArea field="0" dataOnly="0" labelOnly="1" grandRow="1" outline="0" axis="axisRow" fieldPosition="0">
        <references count="1">
          <reference field="4294967294" count="1" selected="0">
            <x v="0"/>
          </reference>
        </references>
      </pivotArea>
    </format>
    <format dxfId="2610">
      <pivotArea field="0" dataOnly="0" labelOnly="1" grandRow="1" outline="0" axis="axisRow" fieldPosition="0">
        <references count="1">
          <reference field="4294967294" count="1" selected="0">
            <x v="1"/>
          </reference>
        </references>
      </pivotArea>
    </format>
    <format dxfId="2609">
      <pivotArea field="0" dataOnly="0" labelOnly="1" grandRow="1" outline="0" axis="axisRow" fieldPosition="0">
        <references count="1">
          <reference field="4294967294" count="1" selected="0">
            <x v="2"/>
          </reference>
        </references>
      </pivotArea>
    </format>
    <format dxfId="2608">
      <pivotArea field="0" dataOnly="0" labelOnly="1" grandRow="1" outline="0" axis="axisRow" fieldPosition="0">
        <references count="1">
          <reference field="4294967294" count="1" selected="0">
            <x v="3"/>
          </reference>
        </references>
      </pivotArea>
    </format>
    <format dxfId="2607">
      <pivotArea field="0" dataOnly="0" labelOnly="1" grandRow="1" outline="0" axis="axisRow" fieldPosition="0">
        <references count="1">
          <reference field="4294967294" count="1" selected="0">
            <x v="4"/>
          </reference>
        </references>
      </pivotArea>
    </format>
    <format dxfId="2606">
      <pivotArea field="0" dataOnly="0" labelOnly="1" grandRow="1" outline="0" axis="axisRow" fieldPosition="0">
        <references count="1">
          <reference field="4294967294" count="1" selected="0">
            <x v="5"/>
          </reference>
        </references>
      </pivotArea>
    </format>
    <format dxfId="2605">
      <pivotArea field="0" dataOnly="0" labelOnly="1" grandRow="1" outline="0" axis="axisRow" fieldPosition="0">
        <references count="1">
          <reference field="4294967294" count="1" selected="0">
            <x v="6"/>
          </reference>
        </references>
      </pivotArea>
    </format>
    <format dxfId="2604">
      <pivotArea field="0" dataOnly="0" labelOnly="1" grandRow="1" outline="0" axis="axisRow" fieldPosition="0">
        <references count="1">
          <reference field="4294967294" count="1" selected="0">
            <x v="7"/>
          </reference>
        </references>
      </pivotArea>
    </format>
    <format dxfId="2603">
      <pivotArea field="0" dataOnly="0" labelOnly="1" grandRow="1" outline="0" axis="axisRow" fieldPosition="0">
        <references count="1">
          <reference field="4294967294" count="1" selected="0">
            <x v="8"/>
          </reference>
        </references>
      </pivotArea>
    </format>
    <format dxfId="2602">
      <pivotArea field="0" dataOnly="0" labelOnly="1" grandRow="1" outline="0" axis="axisRow" fieldPosition="0">
        <references count="1">
          <reference field="4294967294" count="1" selected="0">
            <x v="9"/>
          </reference>
        </references>
      </pivotArea>
    </format>
    <format dxfId="2601">
      <pivotArea field="0" dataOnly="0" labelOnly="1" grandRow="1" outline="0" axis="axisRow" fieldPosition="0">
        <references count="1">
          <reference field="4294967294" count="1" selected="0">
            <x v="10"/>
          </reference>
        </references>
      </pivotArea>
    </format>
    <format dxfId="2600">
      <pivotArea field="0" dataOnly="0" labelOnly="1" grandRow="1" outline="0" axis="axisRow" fieldPosition="0">
        <references count="1">
          <reference field="4294967294" count="1" selected="0">
            <x v="11"/>
          </reference>
        </references>
      </pivotArea>
    </format>
    <format dxfId="2599">
      <pivotArea field="0" dataOnly="0" labelOnly="1" grandRow="1" outline="0" axis="axisRow" fieldPosition="0">
        <references count="1">
          <reference field="4294967294" count="1" selected="0">
            <x v="12"/>
          </reference>
        </references>
      </pivotArea>
    </format>
    <format dxfId="2598">
      <pivotArea field="0" dataOnly="0" labelOnly="1" grandRow="1" outline="0" axis="axisRow" fieldPosition="0">
        <references count="1">
          <reference field="4294967294" count="1" selected="0">
            <x v="13"/>
          </reference>
        </references>
      </pivotArea>
    </format>
    <format dxfId="2597">
      <pivotArea field="0" dataOnly="0" labelOnly="1" grandRow="1" outline="0" axis="axisRow" fieldPosition="0">
        <references count="1">
          <reference field="4294967294" count="1" selected="0">
            <x v="14"/>
          </reference>
        </references>
      </pivotArea>
    </format>
    <format dxfId="2596">
      <pivotArea field="0" dataOnly="0" labelOnly="1" grandRow="1" outline="0" axis="axisRow" fieldPosition="0">
        <references count="1">
          <reference field="4294967294" count="1" selected="0">
            <x v="15"/>
          </reference>
        </references>
      </pivotArea>
    </format>
    <format dxfId="2595">
      <pivotArea field="0" dataOnly="0" labelOnly="1" grandRow="1" outline="0" axis="axisRow" fieldPosition="0">
        <references count="1">
          <reference field="4294967294" count="1" selected="0">
            <x v="16"/>
          </reference>
        </references>
      </pivotArea>
    </format>
    <format dxfId="2594">
      <pivotArea field="0" dataOnly="0" labelOnly="1" grandRow="1" outline="0" axis="axisRow" fieldPosition="0">
        <references count="1">
          <reference field="4294967294" count="1" selected="0">
            <x v="17"/>
          </reference>
        </references>
      </pivotArea>
    </format>
    <format dxfId="2593">
      <pivotArea field="0" dataOnly="0" labelOnly="1" grandRow="1" outline="0" axis="axisRow" fieldPosition="0">
        <references count="1">
          <reference field="4294967294" count="1" selected="0">
            <x v="18"/>
          </reference>
        </references>
      </pivotArea>
    </format>
    <format dxfId="2592">
      <pivotArea field="0" dataOnly="0" labelOnly="1" grandRow="1" outline="0" axis="axisRow" fieldPosition="0">
        <references count="1">
          <reference field="4294967294" count="1" selected="0">
            <x v="19"/>
          </reference>
        </references>
      </pivotArea>
    </format>
    <format dxfId="2591">
      <pivotArea field="0" dataOnly="0" labelOnly="1" grandRow="1" outline="0" axis="axisRow" fieldPosition="0">
        <references count="1">
          <reference field="4294967294" count="1" selected="0">
            <x v="20"/>
          </reference>
        </references>
      </pivotArea>
    </format>
    <format dxfId="2590">
      <pivotArea field="0" dataOnly="0" labelOnly="1" grandRow="1" outline="0" axis="axisRow" fieldPosition="0">
        <references count="1">
          <reference field="4294967294" count="1" selected="0">
            <x v="21"/>
          </reference>
        </references>
      </pivotArea>
    </format>
    <format dxfId="2589">
      <pivotArea field="0" dataOnly="0" labelOnly="1" grandRow="1" outline="0" axis="axisRow" fieldPosition="0">
        <references count="1">
          <reference field="4294967294" count="1" selected="0">
            <x v="22"/>
          </reference>
        </references>
      </pivotArea>
    </format>
    <format dxfId="2588">
      <pivotArea field="0" dataOnly="0" labelOnly="1" grandRow="1" outline="0" axis="axisRow" fieldPosition="0">
        <references count="1">
          <reference field="4294967294" count="1" selected="0">
            <x v="23"/>
          </reference>
        </references>
      </pivotArea>
    </format>
    <format dxfId="2587">
      <pivotArea field="0" dataOnly="0" labelOnly="1" grandRow="1" outline="0" axis="axisRow" fieldPosition="0">
        <references count="1">
          <reference field="4294967294" count="1" selected="0">
            <x v="24"/>
          </reference>
        </references>
      </pivotArea>
    </format>
    <format dxfId="2586">
      <pivotArea field="0" dataOnly="0" labelOnly="1" grandRow="1" outline="0" axis="axisRow" fieldPosition="0">
        <references count="1">
          <reference field="4294967294" count="1" selected="0">
            <x v="25"/>
          </reference>
        </references>
      </pivotArea>
    </format>
    <format dxfId="2585">
      <pivotArea field="0" dataOnly="0" labelOnly="1" grandRow="1" outline="0" axis="axisRow" fieldPosition="0">
        <references count="1">
          <reference field="4294967294" count="1" selected="0">
            <x v="26"/>
          </reference>
        </references>
      </pivotArea>
    </format>
    <format dxfId="2584">
      <pivotArea field="0" dataOnly="0" labelOnly="1" grandRow="1" outline="0" axis="axisRow" fieldPosition="0">
        <references count="1">
          <reference field="4294967294" count="1" selected="0">
            <x v="27"/>
          </reference>
        </references>
      </pivotArea>
    </format>
    <format dxfId="2583">
      <pivotArea field="0" dataOnly="0" labelOnly="1" grandRow="1" outline="0" axis="axisRow" fieldPosition="0">
        <references count="1">
          <reference field="4294967294" count="1" selected="0">
            <x v="28"/>
          </reference>
        </references>
      </pivotArea>
    </format>
    <format dxfId="2582">
      <pivotArea field="0" dataOnly="0" labelOnly="1" grandRow="1" outline="0" axis="axisRow" fieldPosition="0">
        <references count="1">
          <reference field="4294967294" count="1" selected="0">
            <x v="29"/>
          </reference>
        </references>
      </pivotArea>
    </format>
    <format dxfId="2581">
      <pivotArea field="0" dataOnly="0" labelOnly="1" grandRow="1" outline="0" axis="axisRow" fieldPosition="0">
        <references count="1">
          <reference field="4294967294" count="1" selected="0">
            <x v="30"/>
          </reference>
        </references>
      </pivotArea>
    </format>
    <format dxfId="2580">
      <pivotArea field="0" dataOnly="0" labelOnly="1" grandRow="1" outline="0" axis="axisRow" fieldPosition="0">
        <references count="1">
          <reference field="4294967294" count="1" selected="0">
            <x v="31"/>
          </reference>
        </references>
      </pivotArea>
    </format>
    <format dxfId="2579">
      <pivotArea field="0" dataOnly="0" labelOnly="1" grandRow="1" outline="0" axis="axisRow" fieldPosition="0">
        <references count="1">
          <reference field="4294967294" count="1" selected="0">
            <x v="32"/>
          </reference>
        </references>
      </pivotArea>
    </format>
    <format dxfId="2578">
      <pivotArea field="0" dataOnly="0" labelOnly="1" grandRow="1" outline="0" axis="axisRow" fieldPosition="0">
        <references count="1">
          <reference field="4294967294" count="1" selected="0">
            <x v="33"/>
          </reference>
        </references>
      </pivotArea>
    </format>
    <format dxfId="2577">
      <pivotArea field="0" dataOnly="0" labelOnly="1" grandRow="1" outline="0" axis="axisRow" fieldPosition="0">
        <references count="1">
          <reference field="4294967294" count="1" selected="0">
            <x v="34"/>
          </reference>
        </references>
      </pivotArea>
    </format>
    <format dxfId="2576">
      <pivotArea field="0" dataOnly="0" labelOnly="1" grandRow="1" outline="0" axis="axisRow" fieldPosition="0">
        <references count="1">
          <reference field="4294967294" count="1" selected="0">
            <x v="35"/>
          </reference>
        </references>
      </pivotArea>
    </format>
    <format dxfId="2575">
      <pivotArea field="0" dataOnly="0" labelOnly="1" grandRow="1" outline="0" axis="axisRow" fieldPosition="0">
        <references count="1">
          <reference field="4294967294" count="1" selected="0">
            <x v="0"/>
          </reference>
        </references>
      </pivotArea>
    </format>
    <format dxfId="2574">
      <pivotArea field="0" dataOnly="0" labelOnly="1" grandRow="1" outline="0" axis="axisRow" fieldPosition="0">
        <references count="1">
          <reference field="4294967294" count="1" selected="0">
            <x v="1"/>
          </reference>
        </references>
      </pivotArea>
    </format>
    <format dxfId="2573">
      <pivotArea field="0" dataOnly="0" labelOnly="1" grandRow="1" outline="0" axis="axisRow" fieldPosition="0">
        <references count="1">
          <reference field="4294967294" count="1" selected="0">
            <x v="2"/>
          </reference>
        </references>
      </pivotArea>
    </format>
    <format dxfId="2572">
      <pivotArea field="0" dataOnly="0" labelOnly="1" grandRow="1" outline="0" axis="axisRow" fieldPosition="0">
        <references count="1">
          <reference field="4294967294" count="1" selected="0">
            <x v="3"/>
          </reference>
        </references>
      </pivotArea>
    </format>
    <format dxfId="2571">
      <pivotArea field="0" dataOnly="0" labelOnly="1" grandRow="1" outline="0" axis="axisRow" fieldPosition="0">
        <references count="1">
          <reference field="4294967294" count="1" selected="0">
            <x v="4"/>
          </reference>
        </references>
      </pivotArea>
    </format>
    <format dxfId="2570">
      <pivotArea field="0" dataOnly="0" labelOnly="1" grandRow="1" outline="0" axis="axisRow" fieldPosition="0">
        <references count="1">
          <reference field="4294967294" count="1" selected="0">
            <x v="5"/>
          </reference>
        </references>
      </pivotArea>
    </format>
    <format dxfId="2569">
      <pivotArea field="0" dataOnly="0" labelOnly="1" grandRow="1" outline="0" axis="axisRow" fieldPosition="0">
        <references count="1">
          <reference field="4294967294" count="1" selected="0">
            <x v="6"/>
          </reference>
        </references>
      </pivotArea>
    </format>
    <format dxfId="2568">
      <pivotArea field="0" dataOnly="0" labelOnly="1" grandRow="1" outline="0" axis="axisRow" fieldPosition="0">
        <references count="1">
          <reference field="4294967294" count="1" selected="0">
            <x v="7"/>
          </reference>
        </references>
      </pivotArea>
    </format>
    <format dxfId="2567">
      <pivotArea field="0" dataOnly="0" labelOnly="1" grandRow="1" outline="0" axis="axisRow" fieldPosition="0">
        <references count="1">
          <reference field="4294967294" count="1" selected="0">
            <x v="8"/>
          </reference>
        </references>
      </pivotArea>
    </format>
    <format dxfId="2566">
      <pivotArea field="0" dataOnly="0" labelOnly="1" grandRow="1" outline="0" axis="axisRow" fieldPosition="0">
        <references count="1">
          <reference field="4294967294" count="1" selected="0">
            <x v="9"/>
          </reference>
        </references>
      </pivotArea>
    </format>
    <format dxfId="2565">
      <pivotArea field="0" dataOnly="0" labelOnly="1" grandRow="1" outline="0" axis="axisRow" fieldPosition="0">
        <references count="1">
          <reference field="4294967294" count="1" selected="0">
            <x v="10"/>
          </reference>
        </references>
      </pivotArea>
    </format>
    <format dxfId="2564">
      <pivotArea field="0" dataOnly="0" labelOnly="1" grandRow="1" outline="0" axis="axisRow" fieldPosition="0">
        <references count="1">
          <reference field="4294967294" count="1" selected="0">
            <x v="11"/>
          </reference>
        </references>
      </pivotArea>
    </format>
    <format dxfId="2563">
      <pivotArea field="0" dataOnly="0" labelOnly="1" grandRow="1" outline="0" axis="axisRow" fieldPosition="0">
        <references count="1">
          <reference field="4294967294" count="1" selected="0">
            <x v="12"/>
          </reference>
        </references>
      </pivotArea>
    </format>
    <format dxfId="2562">
      <pivotArea field="0" dataOnly="0" labelOnly="1" grandRow="1" outline="0" axis="axisRow" fieldPosition="0">
        <references count="1">
          <reference field="4294967294" count="1" selected="0">
            <x v="13"/>
          </reference>
        </references>
      </pivotArea>
    </format>
    <format dxfId="2561">
      <pivotArea field="0" dataOnly="0" labelOnly="1" grandRow="1" outline="0" axis="axisRow" fieldPosition="0">
        <references count="1">
          <reference field="4294967294" count="1" selected="0">
            <x v="14"/>
          </reference>
        </references>
      </pivotArea>
    </format>
    <format dxfId="2560">
      <pivotArea field="0" dataOnly="0" labelOnly="1" grandRow="1" outline="0" axis="axisRow" fieldPosition="0">
        <references count="1">
          <reference field="4294967294" count="1" selected="0">
            <x v="15"/>
          </reference>
        </references>
      </pivotArea>
    </format>
    <format dxfId="2559">
      <pivotArea field="0" dataOnly="0" labelOnly="1" grandRow="1" outline="0" axis="axisRow" fieldPosition="0">
        <references count="1">
          <reference field="4294967294" count="1" selected="0">
            <x v="16"/>
          </reference>
        </references>
      </pivotArea>
    </format>
    <format dxfId="2558">
      <pivotArea field="0" dataOnly="0" labelOnly="1" grandRow="1" outline="0" axis="axisRow" fieldPosition="0">
        <references count="1">
          <reference field="4294967294" count="1" selected="0">
            <x v="17"/>
          </reference>
        </references>
      </pivotArea>
    </format>
    <format dxfId="2557">
      <pivotArea field="0" dataOnly="0" labelOnly="1" grandRow="1" outline="0" axis="axisRow" fieldPosition="0">
        <references count="1">
          <reference field="4294967294" count="1" selected="0">
            <x v="18"/>
          </reference>
        </references>
      </pivotArea>
    </format>
    <format dxfId="2556">
      <pivotArea field="0" dataOnly="0" labelOnly="1" grandRow="1" outline="0" axis="axisRow" fieldPosition="0">
        <references count="1">
          <reference field="4294967294" count="1" selected="0">
            <x v="19"/>
          </reference>
        </references>
      </pivotArea>
    </format>
    <format dxfId="2555">
      <pivotArea field="0" dataOnly="0" labelOnly="1" grandRow="1" outline="0" axis="axisRow" fieldPosition="0">
        <references count="1">
          <reference field="4294967294" count="1" selected="0">
            <x v="20"/>
          </reference>
        </references>
      </pivotArea>
    </format>
    <format dxfId="2554">
      <pivotArea field="0" dataOnly="0" labelOnly="1" grandRow="1" outline="0" axis="axisRow" fieldPosition="0">
        <references count="1">
          <reference field="4294967294" count="1" selected="0">
            <x v="21"/>
          </reference>
        </references>
      </pivotArea>
    </format>
    <format dxfId="2553">
      <pivotArea field="0" dataOnly="0" labelOnly="1" grandRow="1" outline="0" axis="axisRow" fieldPosition="0">
        <references count="1">
          <reference field="4294967294" count="1" selected="0">
            <x v="22"/>
          </reference>
        </references>
      </pivotArea>
    </format>
    <format dxfId="2552">
      <pivotArea field="0" dataOnly="0" labelOnly="1" grandRow="1" outline="0" axis="axisRow" fieldPosition="0">
        <references count="1">
          <reference field="4294967294" count="1" selected="0">
            <x v="23"/>
          </reference>
        </references>
      </pivotArea>
    </format>
    <format dxfId="2551">
      <pivotArea field="0" dataOnly="0" labelOnly="1" grandRow="1" outline="0" axis="axisRow" fieldPosition="0">
        <references count="1">
          <reference field="4294967294" count="1" selected="0">
            <x v="24"/>
          </reference>
        </references>
      </pivotArea>
    </format>
    <format dxfId="2550">
      <pivotArea field="0" dataOnly="0" labelOnly="1" grandRow="1" outline="0" axis="axisRow" fieldPosition="0">
        <references count="1">
          <reference field="4294967294" count="1" selected="0">
            <x v="25"/>
          </reference>
        </references>
      </pivotArea>
    </format>
    <format dxfId="2549">
      <pivotArea field="0" dataOnly="0" labelOnly="1" grandRow="1" outline="0" axis="axisRow" fieldPosition="0">
        <references count="1">
          <reference field="4294967294" count="1" selected="0">
            <x v="26"/>
          </reference>
        </references>
      </pivotArea>
    </format>
    <format dxfId="2548">
      <pivotArea field="0" dataOnly="0" labelOnly="1" grandRow="1" outline="0" axis="axisRow" fieldPosition="0">
        <references count="1">
          <reference field="4294967294" count="1" selected="0">
            <x v="27"/>
          </reference>
        </references>
      </pivotArea>
    </format>
    <format dxfId="2547">
      <pivotArea field="0" dataOnly="0" labelOnly="1" grandRow="1" outline="0" axis="axisRow" fieldPosition="0">
        <references count="1">
          <reference field="4294967294" count="1" selected="0">
            <x v="28"/>
          </reference>
        </references>
      </pivotArea>
    </format>
    <format dxfId="2546">
      <pivotArea field="0" dataOnly="0" labelOnly="1" grandRow="1" outline="0" axis="axisRow" fieldPosition="0">
        <references count="1">
          <reference field="4294967294" count="1" selected="0">
            <x v="29"/>
          </reference>
        </references>
      </pivotArea>
    </format>
    <format dxfId="2545">
      <pivotArea field="0" dataOnly="0" labelOnly="1" grandRow="1" outline="0" axis="axisRow" fieldPosition="0">
        <references count="1">
          <reference field="4294967294" count="1" selected="0">
            <x v="30"/>
          </reference>
        </references>
      </pivotArea>
    </format>
    <format dxfId="2544">
      <pivotArea field="0" dataOnly="0" labelOnly="1" grandRow="1" outline="0" axis="axisRow" fieldPosition="0">
        <references count="1">
          <reference field="4294967294" count="1" selected="0">
            <x v="31"/>
          </reference>
        </references>
      </pivotArea>
    </format>
    <format dxfId="2543">
      <pivotArea field="0" dataOnly="0" labelOnly="1" grandRow="1" outline="0" axis="axisRow" fieldPosition="0">
        <references count="1">
          <reference field="4294967294" count="1" selected="0">
            <x v="32"/>
          </reference>
        </references>
      </pivotArea>
    </format>
    <format dxfId="2542">
      <pivotArea field="0" dataOnly="0" labelOnly="1" grandRow="1" outline="0" axis="axisRow" fieldPosition="0">
        <references count="1">
          <reference field="4294967294" count="1" selected="0">
            <x v="33"/>
          </reference>
        </references>
      </pivotArea>
    </format>
    <format dxfId="2541">
      <pivotArea field="0" dataOnly="0" labelOnly="1" grandRow="1" outline="0" axis="axisRow" fieldPosition="0">
        <references count="1">
          <reference field="4294967294" count="1" selected="0">
            <x v="34"/>
          </reference>
        </references>
      </pivotArea>
    </format>
    <format dxfId="2540">
      <pivotArea field="0" dataOnly="0" labelOnly="1" grandRow="1" outline="0" axis="axisRow" fieldPosition="0">
        <references count="1">
          <reference field="4294967294" count="1" selected="0">
            <x v="35"/>
          </reference>
        </references>
      </pivotArea>
    </format>
    <format dxfId="2539">
      <pivotArea field="0" dataOnly="0" labelOnly="1" grandRow="1" outline="0" axis="axisRow" fieldPosition="0">
        <references count="1">
          <reference field="4294967294" count="1" selected="0">
            <x v="0"/>
          </reference>
        </references>
      </pivotArea>
    </format>
    <format dxfId="2538">
      <pivotArea field="0" dataOnly="0" labelOnly="1" grandRow="1" outline="0" axis="axisRow" fieldPosition="0">
        <references count="1">
          <reference field="4294967294" count="1" selected="0">
            <x v="1"/>
          </reference>
        </references>
      </pivotArea>
    </format>
    <format dxfId="2537">
      <pivotArea field="0" dataOnly="0" labelOnly="1" grandRow="1" outline="0" axis="axisRow" fieldPosition="0">
        <references count="1">
          <reference field="4294967294" count="1" selected="0">
            <x v="2"/>
          </reference>
        </references>
      </pivotArea>
    </format>
    <format dxfId="2536">
      <pivotArea field="0" dataOnly="0" labelOnly="1" grandRow="1" outline="0" axis="axisRow" fieldPosition="0">
        <references count="1">
          <reference field="4294967294" count="1" selected="0">
            <x v="3"/>
          </reference>
        </references>
      </pivotArea>
    </format>
    <format dxfId="2535">
      <pivotArea field="0" dataOnly="0" labelOnly="1" grandRow="1" outline="0" axis="axisRow" fieldPosition="0">
        <references count="1">
          <reference field="4294967294" count="1" selected="0">
            <x v="4"/>
          </reference>
        </references>
      </pivotArea>
    </format>
    <format dxfId="2534">
      <pivotArea field="0" dataOnly="0" labelOnly="1" grandRow="1" outline="0" axis="axisRow" fieldPosition="0">
        <references count="1">
          <reference field="4294967294" count="1" selected="0">
            <x v="5"/>
          </reference>
        </references>
      </pivotArea>
    </format>
    <format dxfId="2533">
      <pivotArea field="0" dataOnly="0" labelOnly="1" grandRow="1" outline="0" axis="axisRow" fieldPosition="0">
        <references count="1">
          <reference field="4294967294" count="1" selected="0">
            <x v="6"/>
          </reference>
        </references>
      </pivotArea>
    </format>
    <format dxfId="2532">
      <pivotArea field="0" dataOnly="0" labelOnly="1" grandRow="1" outline="0" axis="axisRow" fieldPosition="0">
        <references count="1">
          <reference field="4294967294" count="1" selected="0">
            <x v="7"/>
          </reference>
        </references>
      </pivotArea>
    </format>
    <format dxfId="2531">
      <pivotArea field="0" dataOnly="0" labelOnly="1" grandRow="1" outline="0" axis="axisRow" fieldPosition="0">
        <references count="1">
          <reference field="4294967294" count="1" selected="0">
            <x v="8"/>
          </reference>
        </references>
      </pivotArea>
    </format>
    <format dxfId="2530">
      <pivotArea field="0" dataOnly="0" labelOnly="1" grandRow="1" outline="0" axis="axisRow" fieldPosition="0">
        <references count="1">
          <reference field="4294967294" count="1" selected="0">
            <x v="9"/>
          </reference>
        </references>
      </pivotArea>
    </format>
    <format dxfId="2529">
      <pivotArea field="0" dataOnly="0" labelOnly="1" grandRow="1" outline="0" axis="axisRow" fieldPosition="0">
        <references count="1">
          <reference field="4294967294" count="1" selected="0">
            <x v="10"/>
          </reference>
        </references>
      </pivotArea>
    </format>
    <format dxfId="2528">
      <pivotArea field="0" dataOnly="0" labelOnly="1" grandRow="1" outline="0" axis="axisRow" fieldPosition="0">
        <references count="1">
          <reference field="4294967294" count="1" selected="0">
            <x v="11"/>
          </reference>
        </references>
      </pivotArea>
    </format>
    <format dxfId="2527">
      <pivotArea field="0" dataOnly="0" labelOnly="1" grandRow="1" outline="0" axis="axisRow" fieldPosition="0">
        <references count="1">
          <reference field="4294967294" count="1" selected="0">
            <x v="12"/>
          </reference>
        </references>
      </pivotArea>
    </format>
    <format dxfId="2526">
      <pivotArea field="0" dataOnly="0" labelOnly="1" grandRow="1" outline="0" axis="axisRow" fieldPosition="0">
        <references count="1">
          <reference field="4294967294" count="1" selected="0">
            <x v="13"/>
          </reference>
        </references>
      </pivotArea>
    </format>
    <format dxfId="2525">
      <pivotArea field="0" dataOnly="0" labelOnly="1" grandRow="1" outline="0" axis="axisRow" fieldPosition="0">
        <references count="1">
          <reference field="4294967294" count="1" selected="0">
            <x v="14"/>
          </reference>
        </references>
      </pivotArea>
    </format>
    <format dxfId="2524">
      <pivotArea field="0" dataOnly="0" labelOnly="1" grandRow="1" outline="0" axis="axisRow" fieldPosition="0">
        <references count="1">
          <reference field="4294967294" count="1" selected="0">
            <x v="15"/>
          </reference>
        </references>
      </pivotArea>
    </format>
    <format dxfId="2523">
      <pivotArea field="0" dataOnly="0" labelOnly="1" grandRow="1" outline="0" axis="axisRow" fieldPosition="0">
        <references count="1">
          <reference field="4294967294" count="1" selected="0">
            <x v="16"/>
          </reference>
        </references>
      </pivotArea>
    </format>
    <format dxfId="2522">
      <pivotArea field="0" dataOnly="0" labelOnly="1" grandRow="1" outline="0" axis="axisRow" fieldPosition="0">
        <references count="1">
          <reference field="4294967294" count="1" selected="0">
            <x v="17"/>
          </reference>
        </references>
      </pivotArea>
    </format>
    <format dxfId="2521">
      <pivotArea field="0" dataOnly="0" labelOnly="1" grandRow="1" outline="0" axis="axisRow" fieldPosition="0">
        <references count="1">
          <reference field="4294967294" count="1" selected="0">
            <x v="18"/>
          </reference>
        </references>
      </pivotArea>
    </format>
    <format dxfId="2520">
      <pivotArea field="0" dataOnly="0" labelOnly="1" grandRow="1" outline="0" axis="axisRow" fieldPosition="0">
        <references count="1">
          <reference field="4294967294" count="1" selected="0">
            <x v="19"/>
          </reference>
        </references>
      </pivotArea>
    </format>
    <format dxfId="2519">
      <pivotArea field="0" dataOnly="0" labelOnly="1" grandRow="1" outline="0" axis="axisRow" fieldPosition="0">
        <references count="1">
          <reference field="4294967294" count="1" selected="0">
            <x v="20"/>
          </reference>
        </references>
      </pivotArea>
    </format>
    <format dxfId="2518">
      <pivotArea field="0" dataOnly="0" labelOnly="1" grandRow="1" outline="0" axis="axisRow" fieldPosition="0">
        <references count="1">
          <reference field="4294967294" count="1" selected="0">
            <x v="21"/>
          </reference>
        </references>
      </pivotArea>
    </format>
    <format dxfId="2517">
      <pivotArea field="0" dataOnly="0" labelOnly="1" grandRow="1" outline="0" axis="axisRow" fieldPosition="0">
        <references count="1">
          <reference field="4294967294" count="1" selected="0">
            <x v="22"/>
          </reference>
        </references>
      </pivotArea>
    </format>
    <format dxfId="2516">
      <pivotArea field="0" dataOnly="0" labelOnly="1" grandRow="1" outline="0" axis="axisRow" fieldPosition="0">
        <references count="1">
          <reference field="4294967294" count="1" selected="0">
            <x v="23"/>
          </reference>
        </references>
      </pivotArea>
    </format>
    <format dxfId="2515">
      <pivotArea field="0" dataOnly="0" labelOnly="1" grandRow="1" outline="0" axis="axisRow" fieldPosition="0">
        <references count="1">
          <reference field="4294967294" count="1" selected="0">
            <x v="24"/>
          </reference>
        </references>
      </pivotArea>
    </format>
    <format dxfId="2514">
      <pivotArea field="0" dataOnly="0" labelOnly="1" grandRow="1" outline="0" axis="axisRow" fieldPosition="0">
        <references count="1">
          <reference field="4294967294" count="1" selected="0">
            <x v="25"/>
          </reference>
        </references>
      </pivotArea>
    </format>
    <format dxfId="2513">
      <pivotArea field="0" dataOnly="0" labelOnly="1" grandRow="1" outline="0" axis="axisRow" fieldPosition="0">
        <references count="1">
          <reference field="4294967294" count="1" selected="0">
            <x v="26"/>
          </reference>
        </references>
      </pivotArea>
    </format>
    <format dxfId="2512">
      <pivotArea field="0" dataOnly="0" labelOnly="1" grandRow="1" outline="0" axis="axisRow" fieldPosition="0">
        <references count="1">
          <reference field="4294967294" count="1" selected="0">
            <x v="27"/>
          </reference>
        </references>
      </pivotArea>
    </format>
    <format dxfId="2511">
      <pivotArea field="0" dataOnly="0" labelOnly="1" grandRow="1" outline="0" axis="axisRow" fieldPosition="0">
        <references count="1">
          <reference field="4294967294" count="1" selected="0">
            <x v="28"/>
          </reference>
        </references>
      </pivotArea>
    </format>
    <format dxfId="2510">
      <pivotArea field="0" dataOnly="0" labelOnly="1" grandRow="1" outline="0" axis="axisRow" fieldPosition="0">
        <references count="1">
          <reference field="4294967294" count="1" selected="0">
            <x v="29"/>
          </reference>
        </references>
      </pivotArea>
    </format>
    <format dxfId="2509">
      <pivotArea field="0" dataOnly="0" labelOnly="1" grandRow="1" outline="0" axis="axisRow" fieldPosition="0">
        <references count="1">
          <reference field="4294967294" count="1" selected="0">
            <x v="30"/>
          </reference>
        </references>
      </pivotArea>
    </format>
    <format dxfId="2508">
      <pivotArea field="0" dataOnly="0" labelOnly="1" grandRow="1" outline="0" axis="axisRow" fieldPosition="0">
        <references count="1">
          <reference field="4294967294" count="1" selected="0">
            <x v="31"/>
          </reference>
        </references>
      </pivotArea>
    </format>
    <format dxfId="2507">
      <pivotArea field="0" dataOnly="0" labelOnly="1" grandRow="1" outline="0" axis="axisRow" fieldPosition="0">
        <references count="1">
          <reference field="4294967294" count="1" selected="0">
            <x v="32"/>
          </reference>
        </references>
      </pivotArea>
    </format>
    <format dxfId="2506">
      <pivotArea field="0" dataOnly="0" labelOnly="1" grandRow="1" outline="0" axis="axisRow" fieldPosition="0">
        <references count="1">
          <reference field="4294967294" count="1" selected="0">
            <x v="33"/>
          </reference>
        </references>
      </pivotArea>
    </format>
    <format dxfId="2505">
      <pivotArea field="0" dataOnly="0" labelOnly="1" grandRow="1" outline="0" axis="axisRow" fieldPosition="0">
        <references count="1">
          <reference field="4294967294" count="1" selected="0">
            <x v="34"/>
          </reference>
        </references>
      </pivotArea>
    </format>
    <format dxfId="2504">
      <pivotArea field="0" dataOnly="0" labelOnly="1" grandRow="1" outline="0" axis="axisRow" fieldPosition="0">
        <references count="1">
          <reference field="4294967294" count="1" selected="0">
            <x v="35"/>
          </reference>
        </references>
      </pivotArea>
    </format>
    <format dxfId="2503">
      <pivotArea field="0" dataOnly="0" labelOnly="1" grandRow="1" outline="0" axis="axisRow" fieldPosition="0">
        <references count="1">
          <reference field="4294967294" count="1" selected="0">
            <x v="0"/>
          </reference>
        </references>
      </pivotArea>
    </format>
    <format dxfId="2502">
      <pivotArea field="0" dataOnly="0" labelOnly="1" grandRow="1" outline="0" axis="axisRow" fieldPosition="0">
        <references count="1">
          <reference field="4294967294" count="1" selected="0">
            <x v="1"/>
          </reference>
        </references>
      </pivotArea>
    </format>
    <format dxfId="2501">
      <pivotArea field="0" dataOnly="0" labelOnly="1" grandRow="1" outline="0" axis="axisRow" fieldPosition="0">
        <references count="1">
          <reference field="4294967294" count="1" selected="0">
            <x v="2"/>
          </reference>
        </references>
      </pivotArea>
    </format>
    <format dxfId="2500">
      <pivotArea field="0" dataOnly="0" labelOnly="1" grandRow="1" outline="0" axis="axisRow" fieldPosition="0">
        <references count="1">
          <reference field="4294967294" count="1" selected="0">
            <x v="3"/>
          </reference>
        </references>
      </pivotArea>
    </format>
    <format dxfId="2499">
      <pivotArea field="0" dataOnly="0" labelOnly="1" grandRow="1" outline="0" axis="axisRow" fieldPosition="0">
        <references count="1">
          <reference field="4294967294" count="1" selected="0">
            <x v="4"/>
          </reference>
        </references>
      </pivotArea>
    </format>
    <format dxfId="2498">
      <pivotArea field="0" dataOnly="0" labelOnly="1" grandRow="1" outline="0" axis="axisRow" fieldPosition="0">
        <references count="1">
          <reference field="4294967294" count="1" selected="0">
            <x v="5"/>
          </reference>
        </references>
      </pivotArea>
    </format>
    <format dxfId="2497">
      <pivotArea field="0" dataOnly="0" labelOnly="1" grandRow="1" outline="0" axis="axisRow" fieldPosition="0">
        <references count="1">
          <reference field="4294967294" count="1" selected="0">
            <x v="6"/>
          </reference>
        </references>
      </pivotArea>
    </format>
    <format dxfId="2496">
      <pivotArea field="0" dataOnly="0" labelOnly="1" grandRow="1" outline="0" axis="axisRow" fieldPosition="0">
        <references count="1">
          <reference field="4294967294" count="1" selected="0">
            <x v="7"/>
          </reference>
        </references>
      </pivotArea>
    </format>
    <format dxfId="2495">
      <pivotArea field="0" dataOnly="0" labelOnly="1" grandRow="1" outline="0" axis="axisRow" fieldPosition="0">
        <references count="1">
          <reference field="4294967294" count="1" selected="0">
            <x v="8"/>
          </reference>
        </references>
      </pivotArea>
    </format>
    <format dxfId="2494">
      <pivotArea field="0" dataOnly="0" labelOnly="1" grandRow="1" outline="0" axis="axisRow" fieldPosition="0">
        <references count="1">
          <reference field="4294967294" count="1" selected="0">
            <x v="9"/>
          </reference>
        </references>
      </pivotArea>
    </format>
    <format dxfId="2493">
      <pivotArea field="0" dataOnly="0" labelOnly="1" grandRow="1" outline="0" axis="axisRow" fieldPosition="0">
        <references count="1">
          <reference field="4294967294" count="1" selected="0">
            <x v="10"/>
          </reference>
        </references>
      </pivotArea>
    </format>
    <format dxfId="2492">
      <pivotArea field="0" dataOnly="0" labelOnly="1" grandRow="1" outline="0" axis="axisRow" fieldPosition="0">
        <references count="1">
          <reference field="4294967294" count="1" selected="0">
            <x v="11"/>
          </reference>
        </references>
      </pivotArea>
    </format>
    <format dxfId="2491">
      <pivotArea field="0" dataOnly="0" labelOnly="1" grandRow="1" outline="0" axis="axisRow" fieldPosition="0">
        <references count="1">
          <reference field="4294967294" count="1" selected="0">
            <x v="12"/>
          </reference>
        </references>
      </pivotArea>
    </format>
    <format dxfId="2490">
      <pivotArea field="0" dataOnly="0" labelOnly="1" grandRow="1" outline="0" axis="axisRow" fieldPosition="0">
        <references count="1">
          <reference field="4294967294" count="1" selected="0">
            <x v="13"/>
          </reference>
        </references>
      </pivotArea>
    </format>
    <format dxfId="2489">
      <pivotArea field="0" dataOnly="0" labelOnly="1" grandRow="1" outline="0" axis="axisRow" fieldPosition="0">
        <references count="1">
          <reference field="4294967294" count="1" selected="0">
            <x v="14"/>
          </reference>
        </references>
      </pivotArea>
    </format>
    <format dxfId="2488">
      <pivotArea field="0" dataOnly="0" labelOnly="1" grandRow="1" outline="0" axis="axisRow" fieldPosition="0">
        <references count="1">
          <reference field="4294967294" count="1" selected="0">
            <x v="15"/>
          </reference>
        </references>
      </pivotArea>
    </format>
    <format dxfId="2487">
      <pivotArea field="0" dataOnly="0" labelOnly="1" grandRow="1" outline="0" axis="axisRow" fieldPosition="0">
        <references count="1">
          <reference field="4294967294" count="1" selected="0">
            <x v="16"/>
          </reference>
        </references>
      </pivotArea>
    </format>
    <format dxfId="2486">
      <pivotArea field="0" dataOnly="0" labelOnly="1" grandRow="1" outline="0" axis="axisRow" fieldPosition="0">
        <references count="1">
          <reference field="4294967294" count="1" selected="0">
            <x v="17"/>
          </reference>
        </references>
      </pivotArea>
    </format>
    <format dxfId="2485">
      <pivotArea field="0" dataOnly="0" labelOnly="1" grandRow="1" outline="0" axis="axisRow" fieldPosition="0">
        <references count="1">
          <reference field="4294967294" count="1" selected="0">
            <x v="18"/>
          </reference>
        </references>
      </pivotArea>
    </format>
    <format dxfId="2484">
      <pivotArea field="0" dataOnly="0" labelOnly="1" grandRow="1" outline="0" axis="axisRow" fieldPosition="0">
        <references count="1">
          <reference field="4294967294" count="1" selected="0">
            <x v="19"/>
          </reference>
        </references>
      </pivotArea>
    </format>
    <format dxfId="2483">
      <pivotArea field="0" dataOnly="0" labelOnly="1" grandRow="1" outline="0" axis="axisRow" fieldPosition="0">
        <references count="1">
          <reference field="4294967294" count="1" selected="0">
            <x v="20"/>
          </reference>
        </references>
      </pivotArea>
    </format>
    <format dxfId="2482">
      <pivotArea field="0" dataOnly="0" labelOnly="1" grandRow="1" outline="0" axis="axisRow" fieldPosition="0">
        <references count="1">
          <reference field="4294967294" count="1" selected="0">
            <x v="21"/>
          </reference>
        </references>
      </pivotArea>
    </format>
    <format dxfId="2481">
      <pivotArea field="0" dataOnly="0" labelOnly="1" grandRow="1" outline="0" axis="axisRow" fieldPosition="0">
        <references count="1">
          <reference field="4294967294" count="1" selected="0">
            <x v="22"/>
          </reference>
        </references>
      </pivotArea>
    </format>
    <format dxfId="2480">
      <pivotArea field="0" dataOnly="0" labelOnly="1" grandRow="1" outline="0" axis="axisRow" fieldPosition="0">
        <references count="1">
          <reference field="4294967294" count="1" selected="0">
            <x v="23"/>
          </reference>
        </references>
      </pivotArea>
    </format>
    <format dxfId="2479">
      <pivotArea field="0" dataOnly="0" labelOnly="1" grandRow="1" outline="0" axis="axisRow" fieldPosition="0">
        <references count="1">
          <reference field="4294967294" count="1" selected="0">
            <x v="24"/>
          </reference>
        </references>
      </pivotArea>
    </format>
    <format dxfId="2478">
      <pivotArea field="0" dataOnly="0" labelOnly="1" grandRow="1" outline="0" axis="axisRow" fieldPosition="0">
        <references count="1">
          <reference field="4294967294" count="1" selected="0">
            <x v="25"/>
          </reference>
        </references>
      </pivotArea>
    </format>
    <format dxfId="2477">
      <pivotArea field="0" dataOnly="0" labelOnly="1" grandRow="1" outline="0" axis="axisRow" fieldPosition="0">
        <references count="1">
          <reference field="4294967294" count="1" selected="0">
            <x v="26"/>
          </reference>
        </references>
      </pivotArea>
    </format>
    <format dxfId="2476">
      <pivotArea field="0" dataOnly="0" labelOnly="1" grandRow="1" outline="0" axis="axisRow" fieldPosition="0">
        <references count="1">
          <reference field="4294967294" count="1" selected="0">
            <x v="27"/>
          </reference>
        </references>
      </pivotArea>
    </format>
    <format dxfId="2475">
      <pivotArea field="0" dataOnly="0" labelOnly="1" grandRow="1" outline="0" axis="axisRow" fieldPosition="0">
        <references count="1">
          <reference field="4294967294" count="1" selected="0">
            <x v="28"/>
          </reference>
        </references>
      </pivotArea>
    </format>
    <format dxfId="2474">
      <pivotArea field="0" dataOnly="0" labelOnly="1" grandRow="1" outline="0" axis="axisRow" fieldPosition="0">
        <references count="1">
          <reference field="4294967294" count="1" selected="0">
            <x v="29"/>
          </reference>
        </references>
      </pivotArea>
    </format>
    <format dxfId="2473">
      <pivotArea field="0" dataOnly="0" labelOnly="1" grandRow="1" outline="0" axis="axisRow" fieldPosition="0">
        <references count="1">
          <reference field="4294967294" count="1" selected="0">
            <x v="30"/>
          </reference>
        </references>
      </pivotArea>
    </format>
    <format dxfId="2472">
      <pivotArea field="0" dataOnly="0" labelOnly="1" grandRow="1" outline="0" axis="axisRow" fieldPosition="0">
        <references count="1">
          <reference field="4294967294" count="1" selected="0">
            <x v="31"/>
          </reference>
        </references>
      </pivotArea>
    </format>
    <format dxfId="2471">
      <pivotArea field="0" dataOnly="0" labelOnly="1" grandRow="1" outline="0" axis="axisRow" fieldPosition="0">
        <references count="1">
          <reference field="4294967294" count="1" selected="0">
            <x v="32"/>
          </reference>
        </references>
      </pivotArea>
    </format>
    <format dxfId="2470">
      <pivotArea field="0" dataOnly="0" labelOnly="1" grandRow="1" outline="0" axis="axisRow" fieldPosition="0">
        <references count="1">
          <reference field="4294967294" count="1" selected="0">
            <x v="33"/>
          </reference>
        </references>
      </pivotArea>
    </format>
    <format dxfId="2469">
      <pivotArea field="0" dataOnly="0" labelOnly="1" grandRow="1" outline="0" axis="axisRow" fieldPosition="0">
        <references count="1">
          <reference field="4294967294" count="1" selected="0">
            <x v="34"/>
          </reference>
        </references>
      </pivotArea>
    </format>
    <format dxfId="2468">
      <pivotArea field="0" dataOnly="0" labelOnly="1" grandRow="1" outline="0" axis="axisRow" fieldPosition="0">
        <references count="1">
          <reference field="4294967294" count="1" selected="0">
            <x v="35"/>
          </reference>
        </references>
      </pivotArea>
    </format>
    <format dxfId="2467">
      <pivotArea field="0" dataOnly="0" labelOnly="1" grandRow="1" outline="0" axis="axisRow" fieldPosition="0">
        <references count="1">
          <reference field="4294967294" count="1" selected="0">
            <x v="0"/>
          </reference>
        </references>
      </pivotArea>
    </format>
    <format dxfId="2466">
      <pivotArea field="0" dataOnly="0" labelOnly="1" grandRow="1" outline="0" axis="axisRow" fieldPosition="0">
        <references count="1">
          <reference field="4294967294" count="1" selected="0">
            <x v="1"/>
          </reference>
        </references>
      </pivotArea>
    </format>
    <format dxfId="2465">
      <pivotArea field="0" dataOnly="0" labelOnly="1" grandRow="1" outline="0" axis="axisRow" fieldPosition="0">
        <references count="1">
          <reference field="4294967294" count="1" selected="0">
            <x v="2"/>
          </reference>
        </references>
      </pivotArea>
    </format>
    <format dxfId="2464">
      <pivotArea field="0" dataOnly="0" labelOnly="1" grandRow="1" outline="0" axis="axisRow" fieldPosition="0">
        <references count="1">
          <reference field="4294967294" count="1" selected="0">
            <x v="3"/>
          </reference>
        </references>
      </pivotArea>
    </format>
    <format dxfId="2463">
      <pivotArea field="0" dataOnly="0" labelOnly="1" grandRow="1" outline="0" axis="axisRow" fieldPosition="0">
        <references count="1">
          <reference field="4294967294" count="1" selected="0">
            <x v="4"/>
          </reference>
        </references>
      </pivotArea>
    </format>
    <format dxfId="2462">
      <pivotArea field="0" dataOnly="0" labelOnly="1" grandRow="1" outline="0" axis="axisRow" fieldPosition="0">
        <references count="1">
          <reference field="4294967294" count="1" selected="0">
            <x v="5"/>
          </reference>
        </references>
      </pivotArea>
    </format>
    <format dxfId="2461">
      <pivotArea field="0" dataOnly="0" labelOnly="1" grandRow="1" outline="0" axis="axisRow" fieldPosition="0">
        <references count="1">
          <reference field="4294967294" count="1" selected="0">
            <x v="6"/>
          </reference>
        </references>
      </pivotArea>
    </format>
    <format dxfId="2460">
      <pivotArea field="0" dataOnly="0" labelOnly="1" grandRow="1" outline="0" axis="axisRow" fieldPosition="0">
        <references count="1">
          <reference field="4294967294" count="1" selected="0">
            <x v="7"/>
          </reference>
        </references>
      </pivotArea>
    </format>
    <format dxfId="2459">
      <pivotArea field="0" dataOnly="0" labelOnly="1" grandRow="1" outline="0" axis="axisRow" fieldPosition="0">
        <references count="1">
          <reference field="4294967294" count="1" selected="0">
            <x v="8"/>
          </reference>
        </references>
      </pivotArea>
    </format>
    <format dxfId="2458">
      <pivotArea field="0" dataOnly="0" labelOnly="1" grandRow="1" outline="0" axis="axisRow" fieldPosition="0">
        <references count="1">
          <reference field="4294967294" count="1" selected="0">
            <x v="9"/>
          </reference>
        </references>
      </pivotArea>
    </format>
    <format dxfId="2457">
      <pivotArea field="0" dataOnly="0" labelOnly="1" grandRow="1" outline="0" axis="axisRow" fieldPosition="0">
        <references count="1">
          <reference field="4294967294" count="1" selected="0">
            <x v="10"/>
          </reference>
        </references>
      </pivotArea>
    </format>
    <format dxfId="2456">
      <pivotArea field="0" dataOnly="0" labelOnly="1" grandRow="1" outline="0" axis="axisRow" fieldPosition="0">
        <references count="1">
          <reference field="4294967294" count="1" selected="0">
            <x v="11"/>
          </reference>
        </references>
      </pivotArea>
    </format>
    <format dxfId="2455">
      <pivotArea field="0" dataOnly="0" labelOnly="1" grandRow="1" outline="0" axis="axisRow" fieldPosition="0">
        <references count="1">
          <reference field="4294967294" count="1" selected="0">
            <x v="12"/>
          </reference>
        </references>
      </pivotArea>
    </format>
    <format dxfId="2454">
      <pivotArea field="0" dataOnly="0" labelOnly="1" grandRow="1" outline="0" axis="axisRow" fieldPosition="0">
        <references count="1">
          <reference field="4294967294" count="1" selected="0">
            <x v="13"/>
          </reference>
        </references>
      </pivotArea>
    </format>
    <format dxfId="2453">
      <pivotArea field="0" dataOnly="0" labelOnly="1" grandRow="1" outline="0" axis="axisRow" fieldPosition="0">
        <references count="1">
          <reference field="4294967294" count="1" selected="0">
            <x v="14"/>
          </reference>
        </references>
      </pivotArea>
    </format>
    <format dxfId="2452">
      <pivotArea field="0" dataOnly="0" labelOnly="1" grandRow="1" outline="0" axis="axisRow" fieldPosition="0">
        <references count="1">
          <reference field="4294967294" count="1" selected="0">
            <x v="15"/>
          </reference>
        </references>
      </pivotArea>
    </format>
    <format dxfId="2451">
      <pivotArea field="0" dataOnly="0" labelOnly="1" grandRow="1" outline="0" axis="axisRow" fieldPosition="0">
        <references count="1">
          <reference field="4294967294" count="1" selected="0">
            <x v="16"/>
          </reference>
        </references>
      </pivotArea>
    </format>
    <format dxfId="2450">
      <pivotArea field="0" dataOnly="0" labelOnly="1" grandRow="1" outline="0" axis="axisRow" fieldPosition="0">
        <references count="1">
          <reference field="4294967294" count="1" selected="0">
            <x v="17"/>
          </reference>
        </references>
      </pivotArea>
    </format>
    <format dxfId="2449">
      <pivotArea field="0" dataOnly="0" labelOnly="1" grandRow="1" outline="0" axis="axisRow" fieldPosition="0">
        <references count="1">
          <reference field="4294967294" count="1" selected="0">
            <x v="18"/>
          </reference>
        </references>
      </pivotArea>
    </format>
    <format dxfId="2448">
      <pivotArea field="0" dataOnly="0" labelOnly="1" grandRow="1" outline="0" axis="axisRow" fieldPosition="0">
        <references count="1">
          <reference field="4294967294" count="1" selected="0">
            <x v="19"/>
          </reference>
        </references>
      </pivotArea>
    </format>
    <format dxfId="2447">
      <pivotArea field="0" dataOnly="0" labelOnly="1" grandRow="1" outline="0" axis="axisRow" fieldPosition="0">
        <references count="1">
          <reference field="4294967294" count="1" selected="0">
            <x v="20"/>
          </reference>
        </references>
      </pivotArea>
    </format>
    <format dxfId="2446">
      <pivotArea field="0" dataOnly="0" labelOnly="1" grandRow="1" outline="0" axis="axisRow" fieldPosition="0">
        <references count="1">
          <reference field="4294967294" count="1" selected="0">
            <x v="21"/>
          </reference>
        </references>
      </pivotArea>
    </format>
    <format dxfId="2445">
      <pivotArea field="0" dataOnly="0" labelOnly="1" grandRow="1" outline="0" axis="axisRow" fieldPosition="0">
        <references count="1">
          <reference field="4294967294" count="1" selected="0">
            <x v="22"/>
          </reference>
        </references>
      </pivotArea>
    </format>
    <format dxfId="2444">
      <pivotArea field="0" dataOnly="0" labelOnly="1" grandRow="1" outline="0" axis="axisRow" fieldPosition="0">
        <references count="1">
          <reference field="4294967294" count="1" selected="0">
            <x v="23"/>
          </reference>
        </references>
      </pivotArea>
    </format>
    <format dxfId="2443">
      <pivotArea field="0" dataOnly="0" labelOnly="1" grandRow="1" outline="0" axis="axisRow" fieldPosition="0">
        <references count="1">
          <reference field="4294967294" count="1" selected="0">
            <x v="24"/>
          </reference>
        </references>
      </pivotArea>
    </format>
    <format dxfId="2442">
      <pivotArea field="0" dataOnly="0" labelOnly="1" grandRow="1" outline="0" axis="axisRow" fieldPosition="0">
        <references count="1">
          <reference field="4294967294" count="1" selected="0">
            <x v="25"/>
          </reference>
        </references>
      </pivotArea>
    </format>
    <format dxfId="2441">
      <pivotArea field="0" dataOnly="0" labelOnly="1" grandRow="1" outline="0" axis="axisRow" fieldPosition="0">
        <references count="1">
          <reference field="4294967294" count="1" selected="0">
            <x v="26"/>
          </reference>
        </references>
      </pivotArea>
    </format>
    <format dxfId="2440">
      <pivotArea field="0" dataOnly="0" labelOnly="1" grandRow="1" outline="0" axis="axisRow" fieldPosition="0">
        <references count="1">
          <reference field="4294967294" count="1" selected="0">
            <x v="27"/>
          </reference>
        </references>
      </pivotArea>
    </format>
    <format dxfId="2439">
      <pivotArea field="0" dataOnly="0" labelOnly="1" grandRow="1" outline="0" axis="axisRow" fieldPosition="0">
        <references count="1">
          <reference field="4294967294" count="1" selected="0">
            <x v="28"/>
          </reference>
        </references>
      </pivotArea>
    </format>
    <format dxfId="2438">
      <pivotArea field="0" dataOnly="0" labelOnly="1" grandRow="1" outline="0" axis="axisRow" fieldPosition="0">
        <references count="1">
          <reference field="4294967294" count="1" selected="0">
            <x v="29"/>
          </reference>
        </references>
      </pivotArea>
    </format>
    <format dxfId="2437">
      <pivotArea field="0" dataOnly="0" labelOnly="1" grandRow="1" outline="0" axis="axisRow" fieldPosition="0">
        <references count="1">
          <reference field="4294967294" count="1" selected="0">
            <x v="30"/>
          </reference>
        </references>
      </pivotArea>
    </format>
    <format dxfId="2436">
      <pivotArea field="0" dataOnly="0" labelOnly="1" grandRow="1" outline="0" axis="axisRow" fieldPosition="0">
        <references count="1">
          <reference field="4294967294" count="1" selected="0">
            <x v="31"/>
          </reference>
        </references>
      </pivotArea>
    </format>
    <format dxfId="2435">
      <pivotArea field="0" dataOnly="0" labelOnly="1" grandRow="1" outline="0" axis="axisRow" fieldPosition="0">
        <references count="1">
          <reference field="4294967294" count="1" selected="0">
            <x v="32"/>
          </reference>
        </references>
      </pivotArea>
    </format>
    <format dxfId="2434">
      <pivotArea field="0" dataOnly="0" labelOnly="1" grandRow="1" outline="0" axis="axisRow" fieldPosition="0">
        <references count="1">
          <reference field="4294967294" count="1" selected="0">
            <x v="33"/>
          </reference>
        </references>
      </pivotArea>
    </format>
    <format dxfId="2433">
      <pivotArea field="0" dataOnly="0" labelOnly="1" grandRow="1" outline="0" axis="axisRow" fieldPosition="0">
        <references count="1">
          <reference field="4294967294" count="1" selected="0">
            <x v="34"/>
          </reference>
        </references>
      </pivotArea>
    </format>
    <format dxfId="2432">
      <pivotArea field="0" dataOnly="0" labelOnly="1" grandRow="1" outline="0" axis="axisRow" fieldPosition="0">
        <references count="1">
          <reference field="4294967294" count="1" selected="0">
            <x v="35"/>
          </reference>
        </references>
      </pivotArea>
    </format>
    <format dxfId="2431">
      <pivotArea field="0" dataOnly="0" labelOnly="1" grandRow="1" outline="0" axis="axisRow" fieldPosition="0">
        <references count="1">
          <reference field="4294967294" count="1" selected="0">
            <x v="0"/>
          </reference>
        </references>
      </pivotArea>
    </format>
    <format dxfId="2430">
      <pivotArea field="0" dataOnly="0" labelOnly="1" grandRow="1" outline="0" axis="axisRow" fieldPosition="0">
        <references count="1">
          <reference field="4294967294" count="1" selected="0">
            <x v="1"/>
          </reference>
        </references>
      </pivotArea>
    </format>
    <format dxfId="2429">
      <pivotArea field="0" dataOnly="0" labelOnly="1" grandRow="1" outline="0" axis="axisRow" fieldPosition="0">
        <references count="1">
          <reference field="4294967294" count="1" selected="0">
            <x v="2"/>
          </reference>
        </references>
      </pivotArea>
    </format>
    <format dxfId="2428">
      <pivotArea field="0" dataOnly="0" labelOnly="1" grandRow="1" outline="0" axis="axisRow" fieldPosition="0">
        <references count="1">
          <reference field="4294967294" count="1" selected="0">
            <x v="3"/>
          </reference>
        </references>
      </pivotArea>
    </format>
    <format dxfId="2427">
      <pivotArea field="0" dataOnly="0" labelOnly="1" grandRow="1" outline="0" axis="axisRow" fieldPosition="0">
        <references count="1">
          <reference field="4294967294" count="1" selected="0">
            <x v="4"/>
          </reference>
        </references>
      </pivotArea>
    </format>
    <format dxfId="2426">
      <pivotArea field="0" dataOnly="0" labelOnly="1" grandRow="1" outline="0" axis="axisRow" fieldPosition="0">
        <references count="1">
          <reference field="4294967294" count="1" selected="0">
            <x v="5"/>
          </reference>
        </references>
      </pivotArea>
    </format>
    <format dxfId="2425">
      <pivotArea field="0" dataOnly="0" labelOnly="1" grandRow="1" outline="0" axis="axisRow" fieldPosition="0">
        <references count="1">
          <reference field="4294967294" count="1" selected="0">
            <x v="6"/>
          </reference>
        </references>
      </pivotArea>
    </format>
    <format dxfId="2424">
      <pivotArea field="0" dataOnly="0" labelOnly="1" grandRow="1" outline="0" axis="axisRow" fieldPosition="0">
        <references count="1">
          <reference field="4294967294" count="1" selected="0">
            <x v="7"/>
          </reference>
        </references>
      </pivotArea>
    </format>
    <format dxfId="2423">
      <pivotArea field="0" dataOnly="0" labelOnly="1" grandRow="1" outline="0" axis="axisRow" fieldPosition="0">
        <references count="1">
          <reference field="4294967294" count="1" selected="0">
            <x v="8"/>
          </reference>
        </references>
      </pivotArea>
    </format>
    <format dxfId="2422">
      <pivotArea field="0" dataOnly="0" labelOnly="1" grandRow="1" outline="0" axis="axisRow" fieldPosition="0">
        <references count="1">
          <reference field="4294967294" count="1" selected="0">
            <x v="9"/>
          </reference>
        </references>
      </pivotArea>
    </format>
    <format dxfId="2421">
      <pivotArea field="0" dataOnly="0" labelOnly="1" grandRow="1" outline="0" axis="axisRow" fieldPosition="0">
        <references count="1">
          <reference field="4294967294" count="1" selected="0">
            <x v="10"/>
          </reference>
        </references>
      </pivotArea>
    </format>
    <format dxfId="2420">
      <pivotArea field="0" dataOnly="0" labelOnly="1" grandRow="1" outline="0" axis="axisRow" fieldPosition="0">
        <references count="1">
          <reference field="4294967294" count="1" selected="0">
            <x v="11"/>
          </reference>
        </references>
      </pivotArea>
    </format>
    <format dxfId="2419">
      <pivotArea field="0" dataOnly="0" labelOnly="1" grandRow="1" outline="0" axis="axisRow" fieldPosition="0">
        <references count="1">
          <reference field="4294967294" count="1" selected="0">
            <x v="12"/>
          </reference>
        </references>
      </pivotArea>
    </format>
    <format dxfId="2418">
      <pivotArea field="0" dataOnly="0" labelOnly="1" grandRow="1" outline="0" axis="axisRow" fieldPosition="0">
        <references count="1">
          <reference field="4294967294" count="1" selected="0">
            <x v="13"/>
          </reference>
        </references>
      </pivotArea>
    </format>
    <format dxfId="2417">
      <pivotArea field="0" dataOnly="0" labelOnly="1" grandRow="1" outline="0" axis="axisRow" fieldPosition="0">
        <references count="1">
          <reference field="4294967294" count="1" selected="0">
            <x v="14"/>
          </reference>
        </references>
      </pivotArea>
    </format>
    <format dxfId="2416">
      <pivotArea field="0" dataOnly="0" labelOnly="1" grandRow="1" outline="0" axis="axisRow" fieldPosition="0">
        <references count="1">
          <reference field="4294967294" count="1" selected="0">
            <x v="15"/>
          </reference>
        </references>
      </pivotArea>
    </format>
    <format dxfId="2415">
      <pivotArea field="0" dataOnly="0" labelOnly="1" grandRow="1" outline="0" axis="axisRow" fieldPosition="0">
        <references count="1">
          <reference field="4294967294" count="1" selected="0">
            <x v="16"/>
          </reference>
        </references>
      </pivotArea>
    </format>
    <format dxfId="2414">
      <pivotArea field="0" dataOnly="0" labelOnly="1" grandRow="1" outline="0" axis="axisRow" fieldPosition="0">
        <references count="1">
          <reference field="4294967294" count="1" selected="0">
            <x v="17"/>
          </reference>
        </references>
      </pivotArea>
    </format>
    <format dxfId="2413">
      <pivotArea field="0" dataOnly="0" labelOnly="1" grandRow="1" outline="0" axis="axisRow" fieldPosition="0">
        <references count="1">
          <reference field="4294967294" count="1" selected="0">
            <x v="18"/>
          </reference>
        </references>
      </pivotArea>
    </format>
    <format dxfId="2412">
      <pivotArea field="0" dataOnly="0" labelOnly="1" grandRow="1" outline="0" axis="axisRow" fieldPosition="0">
        <references count="1">
          <reference field="4294967294" count="1" selected="0">
            <x v="19"/>
          </reference>
        </references>
      </pivotArea>
    </format>
    <format dxfId="2411">
      <pivotArea field="0" dataOnly="0" labelOnly="1" grandRow="1" outline="0" axis="axisRow" fieldPosition="0">
        <references count="1">
          <reference field="4294967294" count="1" selected="0">
            <x v="20"/>
          </reference>
        </references>
      </pivotArea>
    </format>
    <format dxfId="2410">
      <pivotArea field="0" dataOnly="0" labelOnly="1" grandRow="1" outline="0" axis="axisRow" fieldPosition="0">
        <references count="1">
          <reference field="4294967294" count="1" selected="0">
            <x v="21"/>
          </reference>
        </references>
      </pivotArea>
    </format>
    <format dxfId="2409">
      <pivotArea field="0" dataOnly="0" labelOnly="1" grandRow="1" outline="0" axis="axisRow" fieldPosition="0">
        <references count="1">
          <reference field="4294967294" count="1" selected="0">
            <x v="22"/>
          </reference>
        </references>
      </pivotArea>
    </format>
    <format dxfId="2408">
      <pivotArea field="0" dataOnly="0" labelOnly="1" grandRow="1" outline="0" axis="axisRow" fieldPosition="0">
        <references count="1">
          <reference field="4294967294" count="1" selected="0">
            <x v="23"/>
          </reference>
        </references>
      </pivotArea>
    </format>
    <format dxfId="2407">
      <pivotArea field="0" dataOnly="0" labelOnly="1" grandRow="1" outline="0" axis="axisRow" fieldPosition="0">
        <references count="1">
          <reference field="4294967294" count="1" selected="0">
            <x v="24"/>
          </reference>
        </references>
      </pivotArea>
    </format>
    <format dxfId="2406">
      <pivotArea field="0" dataOnly="0" labelOnly="1" grandRow="1" outline="0" axis="axisRow" fieldPosition="0">
        <references count="1">
          <reference field="4294967294" count="1" selected="0">
            <x v="25"/>
          </reference>
        </references>
      </pivotArea>
    </format>
    <format dxfId="2405">
      <pivotArea field="0" dataOnly="0" labelOnly="1" grandRow="1" outline="0" axis="axisRow" fieldPosition="0">
        <references count="1">
          <reference field="4294967294" count="1" selected="0">
            <x v="26"/>
          </reference>
        </references>
      </pivotArea>
    </format>
    <format dxfId="2404">
      <pivotArea field="0" dataOnly="0" labelOnly="1" grandRow="1" outline="0" axis="axisRow" fieldPosition="0">
        <references count="1">
          <reference field="4294967294" count="1" selected="0">
            <x v="27"/>
          </reference>
        </references>
      </pivotArea>
    </format>
    <format dxfId="2403">
      <pivotArea field="0" dataOnly="0" labelOnly="1" grandRow="1" outline="0" axis="axisRow" fieldPosition="0">
        <references count="1">
          <reference field="4294967294" count="1" selected="0">
            <x v="28"/>
          </reference>
        </references>
      </pivotArea>
    </format>
    <format dxfId="2402">
      <pivotArea field="0" dataOnly="0" labelOnly="1" grandRow="1" outline="0" axis="axisRow" fieldPosition="0">
        <references count="1">
          <reference field="4294967294" count="1" selected="0">
            <x v="29"/>
          </reference>
        </references>
      </pivotArea>
    </format>
    <format dxfId="2401">
      <pivotArea field="0" dataOnly="0" labelOnly="1" grandRow="1" outline="0" axis="axisRow" fieldPosition="0">
        <references count="1">
          <reference field="4294967294" count="1" selected="0">
            <x v="30"/>
          </reference>
        </references>
      </pivotArea>
    </format>
    <format dxfId="2400">
      <pivotArea field="0" dataOnly="0" labelOnly="1" grandRow="1" outline="0" axis="axisRow" fieldPosition="0">
        <references count="1">
          <reference field="4294967294" count="1" selected="0">
            <x v="31"/>
          </reference>
        </references>
      </pivotArea>
    </format>
    <format dxfId="2399">
      <pivotArea field="0" dataOnly="0" labelOnly="1" grandRow="1" outline="0" axis="axisRow" fieldPosition="0">
        <references count="1">
          <reference field="4294967294" count="1" selected="0">
            <x v="32"/>
          </reference>
        </references>
      </pivotArea>
    </format>
    <format dxfId="2398">
      <pivotArea field="0" dataOnly="0" labelOnly="1" grandRow="1" outline="0" axis="axisRow" fieldPosition="0">
        <references count="1">
          <reference field="4294967294" count="1" selected="0">
            <x v="33"/>
          </reference>
        </references>
      </pivotArea>
    </format>
    <format dxfId="2397">
      <pivotArea field="0" dataOnly="0" labelOnly="1" grandRow="1" outline="0" axis="axisRow" fieldPosition="0">
        <references count="1">
          <reference field="4294967294" count="1" selected="0">
            <x v="34"/>
          </reference>
        </references>
      </pivotArea>
    </format>
    <format dxfId="2396">
      <pivotArea field="0" dataOnly="0" labelOnly="1" grandRow="1" outline="0" axis="axisRow" fieldPosition="0">
        <references count="1">
          <reference field="4294967294" count="1" selected="0">
            <x v="35"/>
          </reference>
        </references>
      </pivotArea>
    </format>
    <format dxfId="2395">
      <pivotArea field="0" dataOnly="0" labelOnly="1" grandRow="1" outline="0" axis="axisRow" fieldPosition="0">
        <references count="1">
          <reference field="4294967294" count="1" selected="0">
            <x v="0"/>
          </reference>
        </references>
      </pivotArea>
    </format>
    <format dxfId="2394">
      <pivotArea field="0" dataOnly="0" labelOnly="1" grandRow="1" outline="0" axis="axisRow" fieldPosition="0">
        <references count="1">
          <reference field="4294967294" count="1" selected="0">
            <x v="1"/>
          </reference>
        </references>
      </pivotArea>
    </format>
    <format dxfId="2393">
      <pivotArea field="0" dataOnly="0" labelOnly="1" grandRow="1" outline="0" axis="axisRow" fieldPosition="0">
        <references count="1">
          <reference field="4294967294" count="1" selected="0">
            <x v="2"/>
          </reference>
        </references>
      </pivotArea>
    </format>
    <format dxfId="2392">
      <pivotArea field="0" dataOnly="0" labelOnly="1" grandRow="1" outline="0" axis="axisRow" fieldPosition="0">
        <references count="1">
          <reference field="4294967294" count="1" selected="0">
            <x v="3"/>
          </reference>
        </references>
      </pivotArea>
    </format>
    <format dxfId="2391">
      <pivotArea field="0" dataOnly="0" labelOnly="1" grandRow="1" outline="0" axis="axisRow" fieldPosition="0">
        <references count="1">
          <reference field="4294967294" count="1" selected="0">
            <x v="4"/>
          </reference>
        </references>
      </pivotArea>
    </format>
    <format dxfId="2390">
      <pivotArea field="0" dataOnly="0" labelOnly="1" grandRow="1" outline="0" axis="axisRow" fieldPosition="0">
        <references count="1">
          <reference field="4294967294" count="1" selected="0">
            <x v="5"/>
          </reference>
        </references>
      </pivotArea>
    </format>
    <format dxfId="2389">
      <pivotArea field="0" dataOnly="0" labelOnly="1" grandRow="1" outline="0" axis="axisRow" fieldPosition="0">
        <references count="1">
          <reference field="4294967294" count="1" selected="0">
            <x v="6"/>
          </reference>
        </references>
      </pivotArea>
    </format>
    <format dxfId="2388">
      <pivotArea field="0" dataOnly="0" labelOnly="1" grandRow="1" outline="0" axis="axisRow" fieldPosition="0">
        <references count="1">
          <reference field="4294967294" count="1" selected="0">
            <x v="7"/>
          </reference>
        </references>
      </pivotArea>
    </format>
    <format dxfId="2387">
      <pivotArea field="0" dataOnly="0" labelOnly="1" grandRow="1" outline="0" axis="axisRow" fieldPosition="0">
        <references count="1">
          <reference field="4294967294" count="1" selected="0">
            <x v="8"/>
          </reference>
        </references>
      </pivotArea>
    </format>
    <format dxfId="2386">
      <pivotArea field="0" dataOnly="0" labelOnly="1" grandRow="1" outline="0" axis="axisRow" fieldPosition="0">
        <references count="1">
          <reference field="4294967294" count="1" selected="0">
            <x v="9"/>
          </reference>
        </references>
      </pivotArea>
    </format>
    <format dxfId="2385">
      <pivotArea field="0" dataOnly="0" labelOnly="1" grandRow="1" outline="0" axis="axisRow" fieldPosition="0">
        <references count="1">
          <reference field="4294967294" count="1" selected="0">
            <x v="10"/>
          </reference>
        </references>
      </pivotArea>
    </format>
    <format dxfId="2384">
      <pivotArea field="0" dataOnly="0" labelOnly="1" grandRow="1" outline="0" axis="axisRow" fieldPosition="0">
        <references count="1">
          <reference field="4294967294" count="1" selected="0">
            <x v="11"/>
          </reference>
        </references>
      </pivotArea>
    </format>
    <format dxfId="2383">
      <pivotArea field="0" dataOnly="0" labelOnly="1" grandRow="1" outline="0" axis="axisRow" fieldPosition="0">
        <references count="1">
          <reference field="4294967294" count="1" selected="0">
            <x v="12"/>
          </reference>
        </references>
      </pivotArea>
    </format>
    <format dxfId="2382">
      <pivotArea field="0" dataOnly="0" labelOnly="1" grandRow="1" outline="0" axis="axisRow" fieldPosition="0">
        <references count="1">
          <reference field="4294967294" count="1" selected="0">
            <x v="13"/>
          </reference>
        </references>
      </pivotArea>
    </format>
    <format dxfId="2381">
      <pivotArea field="0" dataOnly="0" labelOnly="1" grandRow="1" outline="0" axis="axisRow" fieldPosition="0">
        <references count="1">
          <reference field="4294967294" count="1" selected="0">
            <x v="14"/>
          </reference>
        </references>
      </pivotArea>
    </format>
    <format dxfId="2380">
      <pivotArea field="0" dataOnly="0" labelOnly="1" grandRow="1" outline="0" axis="axisRow" fieldPosition="0">
        <references count="1">
          <reference field="4294967294" count="1" selected="0">
            <x v="15"/>
          </reference>
        </references>
      </pivotArea>
    </format>
    <format dxfId="2379">
      <pivotArea field="0" dataOnly="0" labelOnly="1" grandRow="1" outline="0" axis="axisRow" fieldPosition="0">
        <references count="1">
          <reference field="4294967294" count="1" selected="0">
            <x v="16"/>
          </reference>
        </references>
      </pivotArea>
    </format>
    <format dxfId="2378">
      <pivotArea field="0" dataOnly="0" labelOnly="1" grandRow="1" outline="0" axis="axisRow" fieldPosition="0">
        <references count="1">
          <reference field="4294967294" count="1" selected="0">
            <x v="17"/>
          </reference>
        </references>
      </pivotArea>
    </format>
    <format dxfId="2377">
      <pivotArea field="0" dataOnly="0" labelOnly="1" grandRow="1" outline="0" axis="axisRow" fieldPosition="0">
        <references count="1">
          <reference field="4294967294" count="1" selected="0">
            <x v="18"/>
          </reference>
        </references>
      </pivotArea>
    </format>
    <format dxfId="2376">
      <pivotArea field="0" dataOnly="0" labelOnly="1" grandRow="1" outline="0" axis="axisRow" fieldPosition="0">
        <references count="1">
          <reference field="4294967294" count="1" selected="0">
            <x v="19"/>
          </reference>
        </references>
      </pivotArea>
    </format>
    <format dxfId="2375">
      <pivotArea field="0" dataOnly="0" labelOnly="1" grandRow="1" outline="0" axis="axisRow" fieldPosition="0">
        <references count="1">
          <reference field="4294967294" count="1" selected="0">
            <x v="20"/>
          </reference>
        </references>
      </pivotArea>
    </format>
    <format dxfId="2374">
      <pivotArea field="0" dataOnly="0" labelOnly="1" grandRow="1" outline="0" axis="axisRow" fieldPosition="0">
        <references count="1">
          <reference field="4294967294" count="1" selected="0">
            <x v="21"/>
          </reference>
        </references>
      </pivotArea>
    </format>
    <format dxfId="2373">
      <pivotArea field="0" dataOnly="0" labelOnly="1" grandRow="1" outline="0" axis="axisRow" fieldPosition="0">
        <references count="1">
          <reference field="4294967294" count="1" selected="0">
            <x v="22"/>
          </reference>
        </references>
      </pivotArea>
    </format>
    <format dxfId="2372">
      <pivotArea field="0" dataOnly="0" labelOnly="1" grandRow="1" outline="0" axis="axisRow" fieldPosition="0">
        <references count="1">
          <reference field="4294967294" count="1" selected="0">
            <x v="23"/>
          </reference>
        </references>
      </pivotArea>
    </format>
    <format dxfId="2371">
      <pivotArea field="0" dataOnly="0" labelOnly="1" grandRow="1" outline="0" axis="axisRow" fieldPosition="0">
        <references count="1">
          <reference field="4294967294" count="1" selected="0">
            <x v="24"/>
          </reference>
        </references>
      </pivotArea>
    </format>
    <format dxfId="2370">
      <pivotArea field="0" dataOnly="0" labelOnly="1" grandRow="1" outline="0" axis="axisRow" fieldPosition="0">
        <references count="1">
          <reference field="4294967294" count="1" selected="0">
            <x v="25"/>
          </reference>
        </references>
      </pivotArea>
    </format>
    <format dxfId="2369">
      <pivotArea field="0" dataOnly="0" labelOnly="1" grandRow="1" outline="0" axis="axisRow" fieldPosition="0">
        <references count="1">
          <reference field="4294967294" count="1" selected="0">
            <x v="26"/>
          </reference>
        </references>
      </pivotArea>
    </format>
    <format dxfId="2368">
      <pivotArea field="0" dataOnly="0" labelOnly="1" grandRow="1" outline="0" axis="axisRow" fieldPosition="0">
        <references count="1">
          <reference field="4294967294" count="1" selected="0">
            <x v="27"/>
          </reference>
        </references>
      </pivotArea>
    </format>
    <format dxfId="2367">
      <pivotArea field="0" dataOnly="0" labelOnly="1" grandRow="1" outline="0" axis="axisRow" fieldPosition="0">
        <references count="1">
          <reference field="4294967294" count="1" selected="0">
            <x v="28"/>
          </reference>
        </references>
      </pivotArea>
    </format>
    <format dxfId="2366">
      <pivotArea field="0" dataOnly="0" labelOnly="1" grandRow="1" outline="0" axis="axisRow" fieldPosition="0">
        <references count="1">
          <reference field="4294967294" count="1" selected="0">
            <x v="29"/>
          </reference>
        </references>
      </pivotArea>
    </format>
    <format dxfId="2365">
      <pivotArea field="0" dataOnly="0" labelOnly="1" grandRow="1" outline="0" axis="axisRow" fieldPosition="0">
        <references count="1">
          <reference field="4294967294" count="1" selected="0">
            <x v="30"/>
          </reference>
        </references>
      </pivotArea>
    </format>
    <format dxfId="2364">
      <pivotArea field="0" dataOnly="0" labelOnly="1" grandRow="1" outline="0" axis="axisRow" fieldPosition="0">
        <references count="1">
          <reference field="4294967294" count="1" selected="0">
            <x v="31"/>
          </reference>
        </references>
      </pivotArea>
    </format>
    <format dxfId="2363">
      <pivotArea field="0" dataOnly="0" labelOnly="1" grandRow="1" outline="0" axis="axisRow" fieldPosition="0">
        <references count="1">
          <reference field="4294967294" count="1" selected="0">
            <x v="32"/>
          </reference>
        </references>
      </pivotArea>
    </format>
    <format dxfId="2362">
      <pivotArea field="0" dataOnly="0" labelOnly="1" grandRow="1" outline="0" axis="axisRow" fieldPosition="0">
        <references count="1">
          <reference field="4294967294" count="1" selected="0">
            <x v="33"/>
          </reference>
        </references>
      </pivotArea>
    </format>
    <format dxfId="2361">
      <pivotArea field="0" dataOnly="0" labelOnly="1" grandRow="1" outline="0" axis="axisRow" fieldPosition="0">
        <references count="1">
          <reference field="4294967294" count="1" selected="0">
            <x v="34"/>
          </reference>
        </references>
      </pivotArea>
    </format>
    <format dxfId="2360">
      <pivotArea field="0" dataOnly="0" labelOnly="1" grandRow="1" outline="0" axis="axisRow" fieldPosition="0">
        <references count="1">
          <reference field="4294967294" count="1" selected="0">
            <x v="35"/>
          </reference>
        </references>
      </pivotArea>
    </format>
    <format dxfId="2359">
      <pivotArea field="0" dataOnly="0" labelOnly="1" grandRow="1" outline="0" axis="axisRow" fieldPosition="0">
        <references count="1">
          <reference field="4294967294" count="1" selected="0">
            <x v="0"/>
          </reference>
        </references>
      </pivotArea>
    </format>
    <format dxfId="2358">
      <pivotArea field="0" dataOnly="0" labelOnly="1" grandRow="1" outline="0" axis="axisRow" fieldPosition="0">
        <references count="1">
          <reference field="4294967294" count="1" selected="0">
            <x v="1"/>
          </reference>
        </references>
      </pivotArea>
    </format>
    <format dxfId="2357">
      <pivotArea field="0" dataOnly="0" labelOnly="1" grandRow="1" outline="0" axis="axisRow" fieldPosition="0">
        <references count="1">
          <reference field="4294967294" count="1" selected="0">
            <x v="2"/>
          </reference>
        </references>
      </pivotArea>
    </format>
    <format dxfId="2356">
      <pivotArea field="0" dataOnly="0" labelOnly="1" grandRow="1" outline="0" axis="axisRow" fieldPosition="0">
        <references count="1">
          <reference field="4294967294" count="1" selected="0">
            <x v="3"/>
          </reference>
        </references>
      </pivotArea>
    </format>
    <format dxfId="2355">
      <pivotArea field="0" dataOnly="0" labelOnly="1" grandRow="1" outline="0" axis="axisRow" fieldPosition="0">
        <references count="1">
          <reference field="4294967294" count="1" selected="0">
            <x v="4"/>
          </reference>
        </references>
      </pivotArea>
    </format>
    <format dxfId="2354">
      <pivotArea field="0" dataOnly="0" labelOnly="1" grandRow="1" outline="0" axis="axisRow" fieldPosition="0">
        <references count="1">
          <reference field="4294967294" count="1" selected="0">
            <x v="5"/>
          </reference>
        </references>
      </pivotArea>
    </format>
    <format dxfId="2353">
      <pivotArea field="0" dataOnly="0" labelOnly="1" grandRow="1" outline="0" axis="axisRow" fieldPosition="0">
        <references count="1">
          <reference field="4294967294" count="1" selected="0">
            <x v="6"/>
          </reference>
        </references>
      </pivotArea>
    </format>
    <format dxfId="2352">
      <pivotArea field="0" dataOnly="0" labelOnly="1" grandRow="1" outline="0" axis="axisRow" fieldPosition="0">
        <references count="1">
          <reference field="4294967294" count="1" selected="0">
            <x v="7"/>
          </reference>
        </references>
      </pivotArea>
    </format>
    <format dxfId="2351">
      <pivotArea field="0" dataOnly="0" labelOnly="1" grandRow="1" outline="0" axis="axisRow" fieldPosition="0">
        <references count="1">
          <reference field="4294967294" count="1" selected="0">
            <x v="8"/>
          </reference>
        </references>
      </pivotArea>
    </format>
    <format dxfId="2350">
      <pivotArea field="0" dataOnly="0" labelOnly="1" grandRow="1" outline="0" axis="axisRow" fieldPosition="0">
        <references count="1">
          <reference field="4294967294" count="1" selected="0">
            <x v="9"/>
          </reference>
        </references>
      </pivotArea>
    </format>
    <format dxfId="2349">
      <pivotArea field="0" dataOnly="0" labelOnly="1" grandRow="1" outline="0" axis="axisRow" fieldPosition="0">
        <references count="1">
          <reference field="4294967294" count="1" selected="0">
            <x v="10"/>
          </reference>
        </references>
      </pivotArea>
    </format>
    <format dxfId="2348">
      <pivotArea field="0" dataOnly="0" labelOnly="1" grandRow="1" outline="0" axis="axisRow" fieldPosition="0">
        <references count="1">
          <reference field="4294967294" count="1" selected="0">
            <x v="11"/>
          </reference>
        </references>
      </pivotArea>
    </format>
    <format dxfId="2347">
      <pivotArea field="0" dataOnly="0" labelOnly="1" grandRow="1" outline="0" axis="axisRow" fieldPosition="0">
        <references count="1">
          <reference field="4294967294" count="1" selected="0">
            <x v="12"/>
          </reference>
        </references>
      </pivotArea>
    </format>
    <format dxfId="2346">
      <pivotArea field="0" dataOnly="0" labelOnly="1" grandRow="1" outline="0" axis="axisRow" fieldPosition="0">
        <references count="1">
          <reference field="4294967294" count="1" selected="0">
            <x v="13"/>
          </reference>
        </references>
      </pivotArea>
    </format>
    <format dxfId="2345">
      <pivotArea field="0" dataOnly="0" labelOnly="1" grandRow="1" outline="0" axis="axisRow" fieldPosition="0">
        <references count="1">
          <reference field="4294967294" count="1" selected="0">
            <x v="14"/>
          </reference>
        </references>
      </pivotArea>
    </format>
    <format dxfId="2344">
      <pivotArea field="0" dataOnly="0" labelOnly="1" grandRow="1" outline="0" axis="axisRow" fieldPosition="0">
        <references count="1">
          <reference field="4294967294" count="1" selected="0">
            <x v="15"/>
          </reference>
        </references>
      </pivotArea>
    </format>
    <format dxfId="2343">
      <pivotArea field="0" dataOnly="0" labelOnly="1" grandRow="1" outline="0" axis="axisRow" fieldPosition="0">
        <references count="1">
          <reference field="4294967294" count="1" selected="0">
            <x v="16"/>
          </reference>
        </references>
      </pivotArea>
    </format>
    <format dxfId="2342">
      <pivotArea field="0" dataOnly="0" labelOnly="1" grandRow="1" outline="0" axis="axisRow" fieldPosition="0">
        <references count="1">
          <reference field="4294967294" count="1" selected="0">
            <x v="17"/>
          </reference>
        </references>
      </pivotArea>
    </format>
    <format dxfId="2341">
      <pivotArea field="0" dataOnly="0" labelOnly="1" grandRow="1" outline="0" axis="axisRow" fieldPosition="0">
        <references count="1">
          <reference field="4294967294" count="1" selected="0">
            <x v="18"/>
          </reference>
        </references>
      </pivotArea>
    </format>
    <format dxfId="2340">
      <pivotArea field="0" dataOnly="0" labelOnly="1" grandRow="1" outline="0" axis="axisRow" fieldPosition="0">
        <references count="1">
          <reference field="4294967294" count="1" selected="0">
            <x v="19"/>
          </reference>
        </references>
      </pivotArea>
    </format>
    <format dxfId="2339">
      <pivotArea field="0" dataOnly="0" labelOnly="1" grandRow="1" outline="0" axis="axisRow" fieldPosition="0">
        <references count="1">
          <reference field="4294967294" count="1" selected="0">
            <x v="20"/>
          </reference>
        </references>
      </pivotArea>
    </format>
    <format dxfId="2338">
      <pivotArea field="0" dataOnly="0" labelOnly="1" grandRow="1" outline="0" axis="axisRow" fieldPosition="0">
        <references count="1">
          <reference field="4294967294" count="1" selected="0">
            <x v="21"/>
          </reference>
        </references>
      </pivotArea>
    </format>
    <format dxfId="2337">
      <pivotArea field="0" dataOnly="0" labelOnly="1" grandRow="1" outline="0" axis="axisRow" fieldPosition="0">
        <references count="1">
          <reference field="4294967294" count="1" selected="0">
            <x v="22"/>
          </reference>
        </references>
      </pivotArea>
    </format>
    <format dxfId="2336">
      <pivotArea field="0" dataOnly="0" labelOnly="1" grandRow="1" outline="0" axis="axisRow" fieldPosition="0">
        <references count="1">
          <reference field="4294967294" count="1" selected="0">
            <x v="23"/>
          </reference>
        </references>
      </pivotArea>
    </format>
    <format dxfId="2335">
      <pivotArea field="0" dataOnly="0" labelOnly="1" grandRow="1" outline="0" axis="axisRow" fieldPosition="0">
        <references count="1">
          <reference field="4294967294" count="1" selected="0">
            <x v="24"/>
          </reference>
        </references>
      </pivotArea>
    </format>
    <format dxfId="2334">
      <pivotArea field="0" dataOnly="0" labelOnly="1" grandRow="1" outline="0" axis="axisRow" fieldPosition="0">
        <references count="1">
          <reference field="4294967294" count="1" selected="0">
            <x v="25"/>
          </reference>
        </references>
      </pivotArea>
    </format>
    <format dxfId="2333">
      <pivotArea field="0" dataOnly="0" labelOnly="1" grandRow="1" outline="0" axis="axisRow" fieldPosition="0">
        <references count="1">
          <reference field="4294967294" count="1" selected="0">
            <x v="26"/>
          </reference>
        </references>
      </pivotArea>
    </format>
    <format dxfId="2332">
      <pivotArea field="0" dataOnly="0" labelOnly="1" grandRow="1" outline="0" axis="axisRow" fieldPosition="0">
        <references count="1">
          <reference field="4294967294" count="1" selected="0">
            <x v="27"/>
          </reference>
        </references>
      </pivotArea>
    </format>
    <format dxfId="2331">
      <pivotArea field="0" dataOnly="0" labelOnly="1" grandRow="1" outline="0" axis="axisRow" fieldPosition="0">
        <references count="1">
          <reference field="4294967294" count="1" selected="0">
            <x v="28"/>
          </reference>
        </references>
      </pivotArea>
    </format>
    <format dxfId="2330">
      <pivotArea field="0" dataOnly="0" labelOnly="1" grandRow="1" outline="0" axis="axisRow" fieldPosition="0">
        <references count="1">
          <reference field="4294967294" count="1" selected="0">
            <x v="29"/>
          </reference>
        </references>
      </pivotArea>
    </format>
    <format dxfId="2329">
      <pivotArea field="0" dataOnly="0" labelOnly="1" grandRow="1" outline="0" axis="axisRow" fieldPosition="0">
        <references count="1">
          <reference field="4294967294" count="1" selected="0">
            <x v="30"/>
          </reference>
        </references>
      </pivotArea>
    </format>
    <format dxfId="2328">
      <pivotArea field="0" dataOnly="0" labelOnly="1" grandRow="1" outline="0" axis="axisRow" fieldPosition="0">
        <references count="1">
          <reference field="4294967294" count="1" selected="0">
            <x v="31"/>
          </reference>
        </references>
      </pivotArea>
    </format>
    <format dxfId="2327">
      <pivotArea field="0" dataOnly="0" labelOnly="1" grandRow="1" outline="0" axis="axisRow" fieldPosition="0">
        <references count="1">
          <reference field="4294967294" count="1" selected="0">
            <x v="32"/>
          </reference>
        </references>
      </pivotArea>
    </format>
    <format dxfId="2326">
      <pivotArea field="0" dataOnly="0" labelOnly="1" grandRow="1" outline="0" axis="axisRow" fieldPosition="0">
        <references count="1">
          <reference field="4294967294" count="1" selected="0">
            <x v="33"/>
          </reference>
        </references>
      </pivotArea>
    </format>
    <format dxfId="2325">
      <pivotArea field="0" dataOnly="0" labelOnly="1" grandRow="1" outline="0" axis="axisRow" fieldPosition="0">
        <references count="1">
          <reference field="4294967294" count="1" selected="0">
            <x v="34"/>
          </reference>
        </references>
      </pivotArea>
    </format>
    <format dxfId="2324">
      <pivotArea field="0" dataOnly="0" labelOnly="1" grandRow="1" outline="0" axis="axisRow" fieldPosition="0">
        <references count="1">
          <reference field="4294967294" count="1" selected="0">
            <x v="35"/>
          </reference>
        </references>
      </pivotArea>
    </format>
    <format dxfId="2323">
      <pivotArea field="0" dataOnly="0" labelOnly="1" grandRow="1" outline="0" axis="axisRow" fieldPosition="0">
        <references count="1">
          <reference field="4294967294" count="1" selected="0">
            <x v="0"/>
          </reference>
        </references>
      </pivotArea>
    </format>
    <format dxfId="2322">
      <pivotArea field="0" dataOnly="0" labelOnly="1" grandRow="1" outline="0" axis="axisRow" fieldPosition="0">
        <references count="1">
          <reference field="4294967294" count="1" selected="0">
            <x v="1"/>
          </reference>
        </references>
      </pivotArea>
    </format>
    <format dxfId="2321">
      <pivotArea field="0" dataOnly="0" labelOnly="1" grandRow="1" outline="0" axis="axisRow" fieldPosition="0">
        <references count="1">
          <reference field="4294967294" count="1" selected="0">
            <x v="2"/>
          </reference>
        </references>
      </pivotArea>
    </format>
    <format dxfId="2320">
      <pivotArea field="0" dataOnly="0" labelOnly="1" grandRow="1" outline="0" axis="axisRow" fieldPosition="0">
        <references count="1">
          <reference field="4294967294" count="1" selected="0">
            <x v="3"/>
          </reference>
        </references>
      </pivotArea>
    </format>
    <format dxfId="2319">
      <pivotArea field="0" dataOnly="0" labelOnly="1" grandRow="1" outline="0" axis="axisRow" fieldPosition="0">
        <references count="1">
          <reference field="4294967294" count="1" selected="0">
            <x v="4"/>
          </reference>
        </references>
      </pivotArea>
    </format>
    <format dxfId="2318">
      <pivotArea field="0" dataOnly="0" labelOnly="1" grandRow="1" outline="0" axis="axisRow" fieldPosition="0">
        <references count="1">
          <reference field="4294967294" count="1" selected="0">
            <x v="5"/>
          </reference>
        </references>
      </pivotArea>
    </format>
    <format dxfId="2317">
      <pivotArea field="0" dataOnly="0" labelOnly="1" grandRow="1" outline="0" axis="axisRow" fieldPosition="0">
        <references count="1">
          <reference field="4294967294" count="1" selected="0">
            <x v="6"/>
          </reference>
        </references>
      </pivotArea>
    </format>
    <format dxfId="2316">
      <pivotArea field="0" dataOnly="0" labelOnly="1" grandRow="1" outline="0" axis="axisRow" fieldPosition="0">
        <references count="1">
          <reference field="4294967294" count="1" selected="0">
            <x v="7"/>
          </reference>
        </references>
      </pivotArea>
    </format>
    <format dxfId="2315">
      <pivotArea field="0" dataOnly="0" labelOnly="1" grandRow="1" outline="0" axis="axisRow" fieldPosition="0">
        <references count="1">
          <reference field="4294967294" count="1" selected="0">
            <x v="8"/>
          </reference>
        </references>
      </pivotArea>
    </format>
    <format dxfId="2314">
      <pivotArea field="0" dataOnly="0" labelOnly="1" grandRow="1" outline="0" axis="axisRow" fieldPosition="0">
        <references count="1">
          <reference field="4294967294" count="1" selected="0">
            <x v="9"/>
          </reference>
        </references>
      </pivotArea>
    </format>
    <format dxfId="2313">
      <pivotArea field="0" dataOnly="0" labelOnly="1" grandRow="1" outline="0" axis="axisRow" fieldPosition="0">
        <references count="1">
          <reference field="4294967294" count="1" selected="0">
            <x v="10"/>
          </reference>
        </references>
      </pivotArea>
    </format>
    <format dxfId="2312">
      <pivotArea field="0" dataOnly="0" labelOnly="1" grandRow="1" outline="0" axis="axisRow" fieldPosition="0">
        <references count="1">
          <reference field="4294967294" count="1" selected="0">
            <x v="11"/>
          </reference>
        </references>
      </pivotArea>
    </format>
    <format dxfId="2311">
      <pivotArea field="0" dataOnly="0" labelOnly="1" grandRow="1" outline="0" axis="axisRow" fieldPosition="0">
        <references count="1">
          <reference field="4294967294" count="1" selected="0">
            <x v="12"/>
          </reference>
        </references>
      </pivotArea>
    </format>
    <format dxfId="2310">
      <pivotArea field="0" dataOnly="0" labelOnly="1" grandRow="1" outline="0" axis="axisRow" fieldPosition="0">
        <references count="1">
          <reference field="4294967294" count="1" selected="0">
            <x v="13"/>
          </reference>
        </references>
      </pivotArea>
    </format>
    <format dxfId="2309">
      <pivotArea field="0" dataOnly="0" labelOnly="1" grandRow="1" outline="0" axis="axisRow" fieldPosition="0">
        <references count="1">
          <reference field="4294967294" count="1" selected="0">
            <x v="14"/>
          </reference>
        </references>
      </pivotArea>
    </format>
    <format dxfId="2308">
      <pivotArea field="0" dataOnly="0" labelOnly="1" grandRow="1" outline="0" axis="axisRow" fieldPosition="0">
        <references count="1">
          <reference field="4294967294" count="1" selected="0">
            <x v="15"/>
          </reference>
        </references>
      </pivotArea>
    </format>
    <format dxfId="2307">
      <pivotArea field="0" dataOnly="0" labelOnly="1" grandRow="1" outline="0" axis="axisRow" fieldPosition="0">
        <references count="1">
          <reference field="4294967294" count="1" selected="0">
            <x v="16"/>
          </reference>
        </references>
      </pivotArea>
    </format>
    <format dxfId="2306">
      <pivotArea field="0" dataOnly="0" labelOnly="1" grandRow="1" outline="0" axis="axisRow" fieldPosition="0">
        <references count="1">
          <reference field="4294967294" count="1" selected="0">
            <x v="17"/>
          </reference>
        </references>
      </pivotArea>
    </format>
    <format dxfId="2305">
      <pivotArea field="0" dataOnly="0" labelOnly="1" grandRow="1" outline="0" axis="axisRow" fieldPosition="0">
        <references count="1">
          <reference field="4294967294" count="1" selected="0">
            <x v="18"/>
          </reference>
        </references>
      </pivotArea>
    </format>
    <format dxfId="2304">
      <pivotArea field="0" dataOnly="0" labelOnly="1" grandRow="1" outline="0" axis="axisRow" fieldPosition="0">
        <references count="1">
          <reference field="4294967294" count="1" selected="0">
            <x v="19"/>
          </reference>
        </references>
      </pivotArea>
    </format>
    <format dxfId="2303">
      <pivotArea field="0" dataOnly="0" labelOnly="1" grandRow="1" outline="0" axis="axisRow" fieldPosition="0">
        <references count="1">
          <reference field="4294967294" count="1" selected="0">
            <x v="20"/>
          </reference>
        </references>
      </pivotArea>
    </format>
    <format dxfId="2302">
      <pivotArea field="0" dataOnly="0" labelOnly="1" grandRow="1" outline="0" axis="axisRow" fieldPosition="0">
        <references count="1">
          <reference field="4294967294" count="1" selected="0">
            <x v="21"/>
          </reference>
        </references>
      </pivotArea>
    </format>
    <format dxfId="2301">
      <pivotArea field="0" dataOnly="0" labelOnly="1" grandRow="1" outline="0" axis="axisRow" fieldPosition="0">
        <references count="1">
          <reference field="4294967294" count="1" selected="0">
            <x v="22"/>
          </reference>
        </references>
      </pivotArea>
    </format>
    <format dxfId="2300">
      <pivotArea field="0" dataOnly="0" labelOnly="1" grandRow="1" outline="0" axis="axisRow" fieldPosition="0">
        <references count="1">
          <reference field="4294967294" count="1" selected="0">
            <x v="23"/>
          </reference>
        </references>
      </pivotArea>
    </format>
    <format dxfId="2299">
      <pivotArea field="0" dataOnly="0" labelOnly="1" grandRow="1" outline="0" axis="axisRow" fieldPosition="0">
        <references count="1">
          <reference field="4294967294" count="1" selected="0">
            <x v="24"/>
          </reference>
        </references>
      </pivotArea>
    </format>
    <format dxfId="2298">
      <pivotArea field="0" dataOnly="0" labelOnly="1" grandRow="1" outline="0" axis="axisRow" fieldPosition="0">
        <references count="1">
          <reference field="4294967294" count="1" selected="0">
            <x v="25"/>
          </reference>
        </references>
      </pivotArea>
    </format>
    <format dxfId="2297">
      <pivotArea field="0" dataOnly="0" labelOnly="1" grandRow="1" outline="0" axis="axisRow" fieldPosition="0">
        <references count="1">
          <reference field="4294967294" count="1" selected="0">
            <x v="26"/>
          </reference>
        </references>
      </pivotArea>
    </format>
    <format dxfId="2296">
      <pivotArea field="0" dataOnly="0" labelOnly="1" grandRow="1" outline="0" axis="axisRow" fieldPosition="0">
        <references count="1">
          <reference field="4294967294" count="1" selected="0">
            <x v="27"/>
          </reference>
        </references>
      </pivotArea>
    </format>
    <format dxfId="2295">
      <pivotArea field="0" dataOnly="0" labelOnly="1" grandRow="1" outline="0" axis="axisRow" fieldPosition="0">
        <references count="1">
          <reference field="4294967294" count="1" selected="0">
            <x v="28"/>
          </reference>
        </references>
      </pivotArea>
    </format>
    <format dxfId="2294">
      <pivotArea field="0" dataOnly="0" labelOnly="1" grandRow="1" outline="0" axis="axisRow" fieldPosition="0">
        <references count="1">
          <reference field="4294967294" count="1" selected="0">
            <x v="29"/>
          </reference>
        </references>
      </pivotArea>
    </format>
    <format dxfId="2293">
      <pivotArea field="0" dataOnly="0" labelOnly="1" grandRow="1" outline="0" axis="axisRow" fieldPosition="0">
        <references count="1">
          <reference field="4294967294" count="1" selected="0">
            <x v="30"/>
          </reference>
        </references>
      </pivotArea>
    </format>
    <format dxfId="2292">
      <pivotArea field="0" dataOnly="0" labelOnly="1" grandRow="1" outline="0" axis="axisRow" fieldPosition="0">
        <references count="1">
          <reference field="4294967294" count="1" selected="0">
            <x v="31"/>
          </reference>
        </references>
      </pivotArea>
    </format>
    <format dxfId="2291">
      <pivotArea field="0" dataOnly="0" labelOnly="1" grandRow="1" outline="0" axis="axisRow" fieldPosition="0">
        <references count="1">
          <reference field="4294967294" count="1" selected="0">
            <x v="32"/>
          </reference>
        </references>
      </pivotArea>
    </format>
    <format dxfId="2290">
      <pivotArea field="0" dataOnly="0" labelOnly="1" grandRow="1" outline="0" axis="axisRow" fieldPosition="0">
        <references count="1">
          <reference field="4294967294" count="1" selected="0">
            <x v="33"/>
          </reference>
        </references>
      </pivotArea>
    </format>
    <format dxfId="2289">
      <pivotArea field="0" dataOnly="0" labelOnly="1" grandRow="1" outline="0" axis="axisRow" fieldPosition="0">
        <references count="1">
          <reference field="4294967294" count="1" selected="0">
            <x v="34"/>
          </reference>
        </references>
      </pivotArea>
    </format>
    <format dxfId="2288">
      <pivotArea field="0" dataOnly="0" labelOnly="1" grandRow="1" outline="0" axis="axisRow" fieldPosition="0">
        <references count="1">
          <reference field="4294967294" count="1" selected="0">
            <x v="35"/>
          </reference>
        </references>
      </pivotArea>
    </format>
    <format dxfId="2287">
      <pivotArea field="0" dataOnly="0" labelOnly="1" grandRow="1" outline="0" axis="axisRow" fieldPosition="0">
        <references count="1">
          <reference field="4294967294" count="1" selected="0">
            <x v="0"/>
          </reference>
        </references>
      </pivotArea>
    </format>
    <format dxfId="2286">
      <pivotArea field="0" dataOnly="0" labelOnly="1" grandRow="1" outline="0" axis="axisRow" fieldPosition="0">
        <references count="1">
          <reference field="4294967294" count="1" selected="0">
            <x v="1"/>
          </reference>
        </references>
      </pivotArea>
    </format>
    <format dxfId="2285">
      <pivotArea field="0" dataOnly="0" labelOnly="1" grandRow="1" outline="0" axis="axisRow" fieldPosition="0">
        <references count="1">
          <reference field="4294967294" count="1" selected="0">
            <x v="2"/>
          </reference>
        </references>
      </pivotArea>
    </format>
    <format dxfId="2284">
      <pivotArea field="0" dataOnly="0" labelOnly="1" grandRow="1" outline="0" axis="axisRow" fieldPosition="0">
        <references count="1">
          <reference field="4294967294" count="1" selected="0">
            <x v="3"/>
          </reference>
        </references>
      </pivotArea>
    </format>
    <format dxfId="2283">
      <pivotArea field="0" dataOnly="0" labelOnly="1" grandRow="1" outline="0" axis="axisRow" fieldPosition="0">
        <references count="1">
          <reference field="4294967294" count="1" selected="0">
            <x v="4"/>
          </reference>
        </references>
      </pivotArea>
    </format>
    <format dxfId="2282">
      <pivotArea field="0" dataOnly="0" labelOnly="1" grandRow="1" outline="0" axis="axisRow" fieldPosition="0">
        <references count="1">
          <reference field="4294967294" count="1" selected="0">
            <x v="5"/>
          </reference>
        </references>
      </pivotArea>
    </format>
    <format dxfId="2281">
      <pivotArea field="0" dataOnly="0" labelOnly="1" grandRow="1" outline="0" axis="axisRow" fieldPosition="0">
        <references count="1">
          <reference field="4294967294" count="1" selected="0">
            <x v="6"/>
          </reference>
        </references>
      </pivotArea>
    </format>
    <format dxfId="2280">
      <pivotArea field="0" dataOnly="0" labelOnly="1" grandRow="1" outline="0" axis="axisRow" fieldPosition="0">
        <references count="1">
          <reference field="4294967294" count="1" selected="0">
            <x v="7"/>
          </reference>
        </references>
      </pivotArea>
    </format>
    <format dxfId="2279">
      <pivotArea field="0" dataOnly="0" labelOnly="1" grandRow="1" outline="0" axis="axisRow" fieldPosition="0">
        <references count="1">
          <reference field="4294967294" count="1" selected="0">
            <x v="8"/>
          </reference>
        </references>
      </pivotArea>
    </format>
    <format dxfId="2278">
      <pivotArea field="0" dataOnly="0" labelOnly="1" grandRow="1" outline="0" axis="axisRow" fieldPosition="0">
        <references count="1">
          <reference field="4294967294" count="1" selected="0">
            <x v="9"/>
          </reference>
        </references>
      </pivotArea>
    </format>
    <format dxfId="2277">
      <pivotArea field="0" dataOnly="0" labelOnly="1" grandRow="1" outline="0" axis="axisRow" fieldPosition="0">
        <references count="1">
          <reference field="4294967294" count="1" selected="0">
            <x v="10"/>
          </reference>
        </references>
      </pivotArea>
    </format>
    <format dxfId="2276">
      <pivotArea field="0" dataOnly="0" labelOnly="1" grandRow="1" outline="0" axis="axisRow" fieldPosition="0">
        <references count="1">
          <reference field="4294967294" count="1" selected="0">
            <x v="11"/>
          </reference>
        </references>
      </pivotArea>
    </format>
    <format dxfId="2275">
      <pivotArea field="0" dataOnly="0" labelOnly="1" grandRow="1" outline="0" axis="axisRow" fieldPosition="0">
        <references count="1">
          <reference field="4294967294" count="1" selected="0">
            <x v="12"/>
          </reference>
        </references>
      </pivotArea>
    </format>
    <format dxfId="2274">
      <pivotArea field="0" dataOnly="0" labelOnly="1" grandRow="1" outline="0" axis="axisRow" fieldPosition="0">
        <references count="1">
          <reference field="4294967294" count="1" selected="0">
            <x v="13"/>
          </reference>
        </references>
      </pivotArea>
    </format>
    <format dxfId="2273">
      <pivotArea field="0" dataOnly="0" labelOnly="1" grandRow="1" outline="0" axis="axisRow" fieldPosition="0">
        <references count="1">
          <reference field="4294967294" count="1" selected="0">
            <x v="14"/>
          </reference>
        </references>
      </pivotArea>
    </format>
    <format dxfId="2272">
      <pivotArea field="0" dataOnly="0" labelOnly="1" grandRow="1" outline="0" axis="axisRow" fieldPosition="0">
        <references count="1">
          <reference field="4294967294" count="1" selected="0">
            <x v="15"/>
          </reference>
        </references>
      </pivotArea>
    </format>
    <format dxfId="2271">
      <pivotArea field="0" dataOnly="0" labelOnly="1" grandRow="1" outline="0" axis="axisRow" fieldPosition="0">
        <references count="1">
          <reference field="4294967294" count="1" selected="0">
            <x v="16"/>
          </reference>
        </references>
      </pivotArea>
    </format>
    <format dxfId="2270">
      <pivotArea field="0" dataOnly="0" labelOnly="1" grandRow="1" outline="0" axis="axisRow" fieldPosition="0">
        <references count="1">
          <reference field="4294967294" count="1" selected="0">
            <x v="17"/>
          </reference>
        </references>
      </pivotArea>
    </format>
    <format dxfId="2269">
      <pivotArea field="0" dataOnly="0" labelOnly="1" grandRow="1" outline="0" axis="axisRow" fieldPosition="0">
        <references count="1">
          <reference field="4294967294" count="1" selected="0">
            <x v="18"/>
          </reference>
        </references>
      </pivotArea>
    </format>
    <format dxfId="2268">
      <pivotArea field="0" dataOnly="0" labelOnly="1" grandRow="1" outline="0" axis="axisRow" fieldPosition="0">
        <references count="1">
          <reference field="4294967294" count="1" selected="0">
            <x v="19"/>
          </reference>
        </references>
      </pivotArea>
    </format>
    <format dxfId="2267">
      <pivotArea field="0" dataOnly="0" labelOnly="1" grandRow="1" outline="0" axis="axisRow" fieldPosition="0">
        <references count="1">
          <reference field="4294967294" count="1" selected="0">
            <x v="20"/>
          </reference>
        </references>
      </pivotArea>
    </format>
    <format dxfId="2266">
      <pivotArea field="0" dataOnly="0" labelOnly="1" grandRow="1" outline="0" axis="axisRow" fieldPosition="0">
        <references count="1">
          <reference field="4294967294" count="1" selected="0">
            <x v="21"/>
          </reference>
        </references>
      </pivotArea>
    </format>
    <format dxfId="2265">
      <pivotArea field="0" dataOnly="0" labelOnly="1" grandRow="1" outline="0" axis="axisRow" fieldPosition="0">
        <references count="1">
          <reference field="4294967294" count="1" selected="0">
            <x v="22"/>
          </reference>
        </references>
      </pivotArea>
    </format>
    <format dxfId="2264">
      <pivotArea field="0" dataOnly="0" labelOnly="1" grandRow="1" outline="0" axis="axisRow" fieldPosition="0">
        <references count="1">
          <reference field="4294967294" count="1" selected="0">
            <x v="23"/>
          </reference>
        </references>
      </pivotArea>
    </format>
    <format dxfId="2263">
      <pivotArea field="0" dataOnly="0" labelOnly="1" grandRow="1" outline="0" axis="axisRow" fieldPosition="0">
        <references count="1">
          <reference field="4294967294" count="1" selected="0">
            <x v="24"/>
          </reference>
        </references>
      </pivotArea>
    </format>
    <format dxfId="2262">
      <pivotArea field="0" dataOnly="0" labelOnly="1" grandRow="1" outline="0" axis="axisRow" fieldPosition="0">
        <references count="1">
          <reference field="4294967294" count="1" selected="0">
            <x v="25"/>
          </reference>
        </references>
      </pivotArea>
    </format>
    <format dxfId="2261">
      <pivotArea field="0" dataOnly="0" labelOnly="1" grandRow="1" outline="0" axis="axisRow" fieldPosition="0">
        <references count="1">
          <reference field="4294967294" count="1" selected="0">
            <x v="26"/>
          </reference>
        </references>
      </pivotArea>
    </format>
    <format dxfId="2260">
      <pivotArea field="0" dataOnly="0" labelOnly="1" grandRow="1" outline="0" axis="axisRow" fieldPosition="0">
        <references count="1">
          <reference field="4294967294" count="1" selected="0">
            <x v="27"/>
          </reference>
        </references>
      </pivotArea>
    </format>
    <format dxfId="2259">
      <pivotArea field="0" dataOnly="0" labelOnly="1" grandRow="1" outline="0" axis="axisRow" fieldPosition="0">
        <references count="1">
          <reference field="4294967294" count="1" selected="0">
            <x v="28"/>
          </reference>
        </references>
      </pivotArea>
    </format>
    <format dxfId="2258">
      <pivotArea field="0" dataOnly="0" labelOnly="1" grandRow="1" outline="0" axis="axisRow" fieldPosition="0">
        <references count="1">
          <reference field="4294967294" count="1" selected="0">
            <x v="29"/>
          </reference>
        </references>
      </pivotArea>
    </format>
    <format dxfId="2257">
      <pivotArea field="0" dataOnly="0" labelOnly="1" grandRow="1" outline="0" axis="axisRow" fieldPosition="0">
        <references count="1">
          <reference field="4294967294" count="1" selected="0">
            <x v="30"/>
          </reference>
        </references>
      </pivotArea>
    </format>
    <format dxfId="2256">
      <pivotArea field="0" dataOnly="0" labelOnly="1" grandRow="1" outline="0" axis="axisRow" fieldPosition="0">
        <references count="1">
          <reference field="4294967294" count="1" selected="0">
            <x v="31"/>
          </reference>
        </references>
      </pivotArea>
    </format>
    <format dxfId="2255">
      <pivotArea field="0" dataOnly="0" labelOnly="1" grandRow="1" outline="0" axis="axisRow" fieldPosition="0">
        <references count="1">
          <reference field="4294967294" count="1" selected="0">
            <x v="32"/>
          </reference>
        </references>
      </pivotArea>
    </format>
    <format dxfId="2254">
      <pivotArea field="0" dataOnly="0" labelOnly="1" grandRow="1" outline="0" axis="axisRow" fieldPosition="0">
        <references count="1">
          <reference field="4294967294" count="1" selected="0">
            <x v="33"/>
          </reference>
        </references>
      </pivotArea>
    </format>
    <format dxfId="2253">
      <pivotArea field="0" dataOnly="0" labelOnly="1" grandRow="1" outline="0" axis="axisRow" fieldPosition="0">
        <references count="1">
          <reference field="4294967294" count="1" selected="0">
            <x v="34"/>
          </reference>
        </references>
      </pivotArea>
    </format>
    <format dxfId="2252">
      <pivotArea field="0" dataOnly="0" labelOnly="1" grandRow="1" outline="0" axis="axisRow" fieldPosition="0">
        <references count="1">
          <reference field="4294967294" count="1" selected="0">
            <x v="35"/>
          </reference>
        </references>
      </pivotArea>
    </format>
    <format dxfId="2251">
      <pivotArea field="0" dataOnly="0" labelOnly="1" grandRow="1" outline="0" axis="axisRow" fieldPosition="0">
        <references count="1">
          <reference field="4294967294" count="1" selected="0">
            <x v="0"/>
          </reference>
        </references>
      </pivotArea>
    </format>
    <format dxfId="2250">
      <pivotArea field="0" dataOnly="0" labelOnly="1" grandRow="1" outline="0" axis="axisRow" fieldPosition="0">
        <references count="1">
          <reference field="4294967294" count="1" selected="0">
            <x v="1"/>
          </reference>
        </references>
      </pivotArea>
    </format>
    <format dxfId="2249">
      <pivotArea field="0" dataOnly="0" labelOnly="1" grandRow="1" outline="0" axis="axisRow" fieldPosition="0">
        <references count="1">
          <reference field="4294967294" count="1" selected="0">
            <x v="2"/>
          </reference>
        </references>
      </pivotArea>
    </format>
    <format dxfId="2248">
      <pivotArea field="0" dataOnly="0" labelOnly="1" grandRow="1" outline="0" axis="axisRow" fieldPosition="0">
        <references count="1">
          <reference field="4294967294" count="1" selected="0">
            <x v="3"/>
          </reference>
        </references>
      </pivotArea>
    </format>
    <format dxfId="2247">
      <pivotArea field="0" dataOnly="0" labelOnly="1" grandRow="1" outline="0" axis="axisRow" fieldPosition="0">
        <references count="1">
          <reference field="4294967294" count="1" selected="0">
            <x v="4"/>
          </reference>
        </references>
      </pivotArea>
    </format>
    <format dxfId="2246">
      <pivotArea field="0" dataOnly="0" labelOnly="1" grandRow="1" outline="0" axis="axisRow" fieldPosition="0">
        <references count="1">
          <reference field="4294967294" count="1" selected="0">
            <x v="5"/>
          </reference>
        </references>
      </pivotArea>
    </format>
    <format dxfId="2245">
      <pivotArea field="0" dataOnly="0" labelOnly="1" grandRow="1" outline="0" axis="axisRow" fieldPosition="0">
        <references count="1">
          <reference field="4294967294" count="1" selected="0">
            <x v="6"/>
          </reference>
        </references>
      </pivotArea>
    </format>
    <format dxfId="2244">
      <pivotArea field="0" dataOnly="0" labelOnly="1" grandRow="1" outline="0" axis="axisRow" fieldPosition="0">
        <references count="1">
          <reference field="4294967294" count="1" selected="0">
            <x v="7"/>
          </reference>
        </references>
      </pivotArea>
    </format>
    <format dxfId="2243">
      <pivotArea field="0" dataOnly="0" labelOnly="1" grandRow="1" outline="0" axis="axisRow" fieldPosition="0">
        <references count="1">
          <reference field="4294967294" count="1" selected="0">
            <x v="8"/>
          </reference>
        </references>
      </pivotArea>
    </format>
    <format dxfId="2242">
      <pivotArea field="0" dataOnly="0" labelOnly="1" grandRow="1" outline="0" axis="axisRow" fieldPosition="0">
        <references count="1">
          <reference field="4294967294" count="1" selected="0">
            <x v="9"/>
          </reference>
        </references>
      </pivotArea>
    </format>
    <format dxfId="2241">
      <pivotArea field="0" dataOnly="0" labelOnly="1" grandRow="1" outline="0" axis="axisRow" fieldPosition="0">
        <references count="1">
          <reference field="4294967294" count="1" selected="0">
            <x v="10"/>
          </reference>
        </references>
      </pivotArea>
    </format>
    <format dxfId="2240">
      <pivotArea field="0" dataOnly="0" labelOnly="1" grandRow="1" outline="0" axis="axisRow" fieldPosition="0">
        <references count="1">
          <reference field="4294967294" count="1" selected="0">
            <x v="11"/>
          </reference>
        </references>
      </pivotArea>
    </format>
    <format dxfId="2239">
      <pivotArea field="0" dataOnly="0" labelOnly="1" grandRow="1" outline="0" axis="axisRow" fieldPosition="0">
        <references count="1">
          <reference field="4294967294" count="1" selected="0">
            <x v="12"/>
          </reference>
        </references>
      </pivotArea>
    </format>
    <format dxfId="2238">
      <pivotArea field="0" dataOnly="0" labelOnly="1" grandRow="1" outline="0" axis="axisRow" fieldPosition="0">
        <references count="1">
          <reference field="4294967294" count="1" selected="0">
            <x v="13"/>
          </reference>
        </references>
      </pivotArea>
    </format>
    <format dxfId="2237">
      <pivotArea field="0" dataOnly="0" labelOnly="1" grandRow="1" outline="0" axis="axisRow" fieldPosition="0">
        <references count="1">
          <reference field="4294967294" count="1" selected="0">
            <x v="14"/>
          </reference>
        </references>
      </pivotArea>
    </format>
    <format dxfId="2236">
      <pivotArea field="0" dataOnly="0" labelOnly="1" grandRow="1" outline="0" axis="axisRow" fieldPosition="0">
        <references count="1">
          <reference field="4294967294" count="1" selected="0">
            <x v="15"/>
          </reference>
        </references>
      </pivotArea>
    </format>
    <format dxfId="2235">
      <pivotArea field="0" dataOnly="0" labelOnly="1" grandRow="1" outline="0" axis="axisRow" fieldPosition="0">
        <references count="1">
          <reference field="4294967294" count="1" selected="0">
            <x v="16"/>
          </reference>
        </references>
      </pivotArea>
    </format>
    <format dxfId="2234">
      <pivotArea field="0" dataOnly="0" labelOnly="1" grandRow="1" outline="0" axis="axisRow" fieldPosition="0">
        <references count="1">
          <reference field="4294967294" count="1" selected="0">
            <x v="17"/>
          </reference>
        </references>
      </pivotArea>
    </format>
    <format dxfId="2233">
      <pivotArea field="0" dataOnly="0" labelOnly="1" grandRow="1" outline="0" axis="axisRow" fieldPosition="0">
        <references count="1">
          <reference field="4294967294" count="1" selected="0">
            <x v="18"/>
          </reference>
        </references>
      </pivotArea>
    </format>
    <format dxfId="2232">
      <pivotArea field="0" dataOnly="0" labelOnly="1" grandRow="1" outline="0" axis="axisRow" fieldPosition="0">
        <references count="1">
          <reference field="4294967294" count="1" selected="0">
            <x v="19"/>
          </reference>
        </references>
      </pivotArea>
    </format>
    <format dxfId="2231">
      <pivotArea field="0" dataOnly="0" labelOnly="1" grandRow="1" outline="0" axis="axisRow" fieldPosition="0">
        <references count="1">
          <reference field="4294967294" count="1" selected="0">
            <x v="20"/>
          </reference>
        </references>
      </pivotArea>
    </format>
    <format dxfId="2230">
      <pivotArea field="0" dataOnly="0" labelOnly="1" grandRow="1" outline="0" axis="axisRow" fieldPosition="0">
        <references count="1">
          <reference field="4294967294" count="1" selected="0">
            <x v="21"/>
          </reference>
        </references>
      </pivotArea>
    </format>
    <format dxfId="2229">
      <pivotArea field="0" dataOnly="0" labelOnly="1" grandRow="1" outline="0" axis="axisRow" fieldPosition="0">
        <references count="1">
          <reference field="4294967294" count="1" selected="0">
            <x v="22"/>
          </reference>
        </references>
      </pivotArea>
    </format>
    <format dxfId="2228">
      <pivotArea field="0" dataOnly="0" labelOnly="1" grandRow="1" outline="0" axis="axisRow" fieldPosition="0">
        <references count="1">
          <reference field="4294967294" count="1" selected="0">
            <x v="23"/>
          </reference>
        </references>
      </pivotArea>
    </format>
    <format dxfId="2227">
      <pivotArea field="0" dataOnly="0" labelOnly="1" grandRow="1" outline="0" axis="axisRow" fieldPosition="0">
        <references count="1">
          <reference field="4294967294" count="1" selected="0">
            <x v="24"/>
          </reference>
        </references>
      </pivotArea>
    </format>
    <format dxfId="2226">
      <pivotArea field="0" dataOnly="0" labelOnly="1" grandRow="1" outline="0" axis="axisRow" fieldPosition="0">
        <references count="1">
          <reference field="4294967294" count="1" selected="0">
            <x v="25"/>
          </reference>
        </references>
      </pivotArea>
    </format>
    <format dxfId="2225">
      <pivotArea field="0" dataOnly="0" labelOnly="1" grandRow="1" outline="0" axis="axisRow" fieldPosition="0">
        <references count="1">
          <reference field="4294967294" count="1" selected="0">
            <x v="26"/>
          </reference>
        </references>
      </pivotArea>
    </format>
    <format dxfId="2224">
      <pivotArea field="0" dataOnly="0" labelOnly="1" grandRow="1" outline="0" axis="axisRow" fieldPosition="0">
        <references count="1">
          <reference field="4294967294" count="1" selected="0">
            <x v="27"/>
          </reference>
        </references>
      </pivotArea>
    </format>
    <format dxfId="2223">
      <pivotArea field="0" dataOnly="0" labelOnly="1" grandRow="1" outline="0" axis="axisRow" fieldPosition="0">
        <references count="1">
          <reference field="4294967294" count="1" selected="0">
            <x v="28"/>
          </reference>
        </references>
      </pivotArea>
    </format>
    <format dxfId="2222">
      <pivotArea field="0" dataOnly="0" labelOnly="1" grandRow="1" outline="0" axis="axisRow" fieldPosition="0">
        <references count="1">
          <reference field="4294967294" count="1" selected="0">
            <x v="29"/>
          </reference>
        </references>
      </pivotArea>
    </format>
    <format dxfId="2221">
      <pivotArea field="0" dataOnly="0" labelOnly="1" grandRow="1" outline="0" axis="axisRow" fieldPosition="0">
        <references count="1">
          <reference field="4294967294" count="1" selected="0">
            <x v="30"/>
          </reference>
        </references>
      </pivotArea>
    </format>
    <format dxfId="2220">
      <pivotArea field="0" dataOnly="0" labelOnly="1" grandRow="1" outline="0" axis="axisRow" fieldPosition="0">
        <references count="1">
          <reference field="4294967294" count="1" selected="0">
            <x v="31"/>
          </reference>
        </references>
      </pivotArea>
    </format>
    <format dxfId="2219">
      <pivotArea field="0" dataOnly="0" labelOnly="1" grandRow="1" outline="0" axis="axisRow" fieldPosition="0">
        <references count="1">
          <reference field="4294967294" count="1" selected="0">
            <x v="32"/>
          </reference>
        </references>
      </pivotArea>
    </format>
    <format dxfId="2218">
      <pivotArea field="0" dataOnly="0" labelOnly="1" grandRow="1" outline="0" axis="axisRow" fieldPosition="0">
        <references count="1">
          <reference field="4294967294" count="1" selected="0">
            <x v="33"/>
          </reference>
        </references>
      </pivotArea>
    </format>
    <format dxfId="2217">
      <pivotArea field="0" dataOnly="0" labelOnly="1" grandRow="1" outline="0" axis="axisRow" fieldPosition="0">
        <references count="1">
          <reference field="4294967294" count="1" selected="0">
            <x v="34"/>
          </reference>
        </references>
      </pivotArea>
    </format>
    <format dxfId="2216">
      <pivotArea field="0" dataOnly="0" labelOnly="1" grandRow="1" outline="0" axis="axisRow" fieldPosition="0">
        <references count="1">
          <reference field="4294967294" count="1" selected="0">
            <x v="35"/>
          </reference>
        </references>
      </pivotArea>
    </format>
    <format dxfId="2215">
      <pivotArea field="0" dataOnly="0" labelOnly="1" grandRow="1" outline="0" axis="axisRow" fieldPosition="0">
        <references count="1">
          <reference field="4294967294" count="1" selected="0">
            <x v="0"/>
          </reference>
        </references>
      </pivotArea>
    </format>
    <format dxfId="2214">
      <pivotArea field="0" dataOnly="0" labelOnly="1" grandRow="1" outline="0" axis="axisRow" fieldPosition="0">
        <references count="1">
          <reference field="4294967294" count="1" selected="0">
            <x v="1"/>
          </reference>
        </references>
      </pivotArea>
    </format>
    <format dxfId="2213">
      <pivotArea field="0" dataOnly="0" labelOnly="1" grandRow="1" outline="0" axis="axisRow" fieldPosition="0">
        <references count="1">
          <reference field="4294967294" count="1" selected="0">
            <x v="2"/>
          </reference>
        </references>
      </pivotArea>
    </format>
    <format dxfId="2212">
      <pivotArea field="0" dataOnly="0" labelOnly="1" grandRow="1" outline="0" axis="axisRow" fieldPosition="0">
        <references count="1">
          <reference field="4294967294" count="1" selected="0">
            <x v="3"/>
          </reference>
        </references>
      </pivotArea>
    </format>
    <format dxfId="2211">
      <pivotArea field="0" dataOnly="0" labelOnly="1" grandRow="1" outline="0" axis="axisRow" fieldPosition="0">
        <references count="1">
          <reference field="4294967294" count="1" selected="0">
            <x v="4"/>
          </reference>
        </references>
      </pivotArea>
    </format>
    <format dxfId="2210">
      <pivotArea field="0" dataOnly="0" labelOnly="1" grandRow="1" outline="0" axis="axisRow" fieldPosition="0">
        <references count="1">
          <reference field="4294967294" count="1" selected="0">
            <x v="5"/>
          </reference>
        </references>
      </pivotArea>
    </format>
    <format dxfId="2209">
      <pivotArea field="0" dataOnly="0" labelOnly="1" grandRow="1" outline="0" axis="axisRow" fieldPosition="0">
        <references count="1">
          <reference field="4294967294" count="1" selected="0">
            <x v="6"/>
          </reference>
        </references>
      </pivotArea>
    </format>
    <format dxfId="2208">
      <pivotArea field="0" dataOnly="0" labelOnly="1" grandRow="1" outline="0" axis="axisRow" fieldPosition="0">
        <references count="1">
          <reference field="4294967294" count="1" selected="0">
            <x v="7"/>
          </reference>
        </references>
      </pivotArea>
    </format>
    <format dxfId="2207">
      <pivotArea field="0" dataOnly="0" labelOnly="1" grandRow="1" outline="0" axis="axisRow" fieldPosition="0">
        <references count="1">
          <reference field="4294967294" count="1" selected="0">
            <x v="8"/>
          </reference>
        </references>
      </pivotArea>
    </format>
    <format dxfId="2206">
      <pivotArea field="0" dataOnly="0" labelOnly="1" grandRow="1" outline="0" axis="axisRow" fieldPosition="0">
        <references count="1">
          <reference field="4294967294" count="1" selected="0">
            <x v="9"/>
          </reference>
        </references>
      </pivotArea>
    </format>
    <format dxfId="2205">
      <pivotArea field="0" dataOnly="0" labelOnly="1" grandRow="1" outline="0" axis="axisRow" fieldPosition="0">
        <references count="1">
          <reference field="4294967294" count="1" selected="0">
            <x v="10"/>
          </reference>
        </references>
      </pivotArea>
    </format>
    <format dxfId="2204">
      <pivotArea field="0" dataOnly="0" labelOnly="1" grandRow="1" outline="0" axis="axisRow" fieldPosition="0">
        <references count="1">
          <reference field="4294967294" count="1" selected="0">
            <x v="11"/>
          </reference>
        </references>
      </pivotArea>
    </format>
    <format dxfId="2203">
      <pivotArea field="0" dataOnly="0" labelOnly="1" grandRow="1" outline="0" axis="axisRow" fieldPosition="0">
        <references count="1">
          <reference field="4294967294" count="1" selected="0">
            <x v="12"/>
          </reference>
        </references>
      </pivotArea>
    </format>
    <format dxfId="2202">
      <pivotArea field="0" dataOnly="0" labelOnly="1" grandRow="1" outline="0" axis="axisRow" fieldPosition="0">
        <references count="1">
          <reference field="4294967294" count="1" selected="0">
            <x v="13"/>
          </reference>
        </references>
      </pivotArea>
    </format>
    <format dxfId="2201">
      <pivotArea field="0" dataOnly="0" labelOnly="1" grandRow="1" outline="0" axis="axisRow" fieldPosition="0">
        <references count="1">
          <reference field="4294967294" count="1" selected="0">
            <x v="14"/>
          </reference>
        </references>
      </pivotArea>
    </format>
    <format dxfId="2200">
      <pivotArea field="0" dataOnly="0" labelOnly="1" grandRow="1" outline="0" axis="axisRow" fieldPosition="0">
        <references count="1">
          <reference field="4294967294" count="1" selected="0">
            <x v="15"/>
          </reference>
        </references>
      </pivotArea>
    </format>
    <format dxfId="2199">
      <pivotArea field="0" dataOnly="0" labelOnly="1" grandRow="1" outline="0" axis="axisRow" fieldPosition="0">
        <references count="1">
          <reference field="4294967294" count="1" selected="0">
            <x v="16"/>
          </reference>
        </references>
      </pivotArea>
    </format>
    <format dxfId="2198">
      <pivotArea field="0" dataOnly="0" labelOnly="1" grandRow="1" outline="0" axis="axisRow" fieldPosition="0">
        <references count="1">
          <reference field="4294967294" count="1" selected="0">
            <x v="17"/>
          </reference>
        </references>
      </pivotArea>
    </format>
    <format dxfId="2197">
      <pivotArea field="0" dataOnly="0" labelOnly="1" grandRow="1" outline="0" axis="axisRow" fieldPosition="0">
        <references count="1">
          <reference field="4294967294" count="1" selected="0">
            <x v="18"/>
          </reference>
        </references>
      </pivotArea>
    </format>
    <format dxfId="2196">
      <pivotArea field="0" dataOnly="0" labelOnly="1" grandRow="1" outline="0" axis="axisRow" fieldPosition="0">
        <references count="1">
          <reference field="4294967294" count="1" selected="0">
            <x v="19"/>
          </reference>
        </references>
      </pivotArea>
    </format>
    <format dxfId="2195">
      <pivotArea field="0" dataOnly="0" labelOnly="1" grandRow="1" outline="0" axis="axisRow" fieldPosition="0">
        <references count="1">
          <reference field="4294967294" count="1" selected="0">
            <x v="20"/>
          </reference>
        </references>
      </pivotArea>
    </format>
    <format dxfId="2194">
      <pivotArea field="0" dataOnly="0" labelOnly="1" grandRow="1" outline="0" axis="axisRow" fieldPosition="0">
        <references count="1">
          <reference field="4294967294" count="1" selected="0">
            <x v="21"/>
          </reference>
        </references>
      </pivotArea>
    </format>
    <format dxfId="2193">
      <pivotArea field="0" dataOnly="0" labelOnly="1" grandRow="1" outline="0" axis="axisRow" fieldPosition="0">
        <references count="1">
          <reference field="4294967294" count="1" selected="0">
            <x v="22"/>
          </reference>
        </references>
      </pivotArea>
    </format>
    <format dxfId="2192">
      <pivotArea field="0" dataOnly="0" labelOnly="1" grandRow="1" outline="0" axis="axisRow" fieldPosition="0">
        <references count="1">
          <reference field="4294967294" count="1" selected="0">
            <x v="23"/>
          </reference>
        </references>
      </pivotArea>
    </format>
    <format dxfId="2191">
      <pivotArea field="0" dataOnly="0" labelOnly="1" grandRow="1" outline="0" axis="axisRow" fieldPosition="0">
        <references count="1">
          <reference field="4294967294" count="1" selected="0">
            <x v="24"/>
          </reference>
        </references>
      </pivotArea>
    </format>
    <format dxfId="2190">
      <pivotArea field="0" dataOnly="0" labelOnly="1" grandRow="1" outline="0" axis="axisRow" fieldPosition="0">
        <references count="1">
          <reference field="4294967294" count="1" selected="0">
            <x v="25"/>
          </reference>
        </references>
      </pivotArea>
    </format>
    <format dxfId="2189">
      <pivotArea field="0" dataOnly="0" labelOnly="1" grandRow="1" outline="0" axis="axisRow" fieldPosition="0">
        <references count="1">
          <reference field="4294967294" count="1" selected="0">
            <x v="26"/>
          </reference>
        </references>
      </pivotArea>
    </format>
    <format dxfId="2188">
      <pivotArea field="0" dataOnly="0" labelOnly="1" grandRow="1" outline="0" axis="axisRow" fieldPosition="0">
        <references count="1">
          <reference field="4294967294" count="1" selected="0">
            <x v="27"/>
          </reference>
        </references>
      </pivotArea>
    </format>
    <format dxfId="2187">
      <pivotArea field="0" dataOnly="0" labelOnly="1" grandRow="1" outline="0" axis="axisRow" fieldPosition="0">
        <references count="1">
          <reference field="4294967294" count="1" selected="0">
            <x v="28"/>
          </reference>
        </references>
      </pivotArea>
    </format>
    <format dxfId="2186">
      <pivotArea field="0" dataOnly="0" labelOnly="1" grandRow="1" outline="0" axis="axisRow" fieldPosition="0">
        <references count="1">
          <reference field="4294967294" count="1" selected="0">
            <x v="29"/>
          </reference>
        </references>
      </pivotArea>
    </format>
    <format dxfId="2185">
      <pivotArea field="0" dataOnly="0" labelOnly="1" grandRow="1" outline="0" axis="axisRow" fieldPosition="0">
        <references count="1">
          <reference field="4294967294" count="1" selected="0">
            <x v="30"/>
          </reference>
        </references>
      </pivotArea>
    </format>
    <format dxfId="2184">
      <pivotArea field="0" dataOnly="0" labelOnly="1" grandRow="1" outline="0" axis="axisRow" fieldPosition="0">
        <references count="1">
          <reference field="4294967294" count="1" selected="0">
            <x v="31"/>
          </reference>
        </references>
      </pivotArea>
    </format>
    <format dxfId="2183">
      <pivotArea field="0" dataOnly="0" labelOnly="1" grandRow="1" outline="0" axis="axisRow" fieldPosition="0">
        <references count="1">
          <reference field="4294967294" count="1" selected="0">
            <x v="32"/>
          </reference>
        </references>
      </pivotArea>
    </format>
    <format dxfId="2182">
      <pivotArea field="0" dataOnly="0" labelOnly="1" grandRow="1" outline="0" axis="axisRow" fieldPosition="0">
        <references count="1">
          <reference field="4294967294" count="1" selected="0">
            <x v="33"/>
          </reference>
        </references>
      </pivotArea>
    </format>
    <format dxfId="2181">
      <pivotArea field="0" dataOnly="0" labelOnly="1" grandRow="1" outline="0" axis="axisRow" fieldPosition="0">
        <references count="1">
          <reference field="4294967294" count="1" selected="0">
            <x v="34"/>
          </reference>
        </references>
      </pivotArea>
    </format>
    <format dxfId="2180">
      <pivotArea field="0" dataOnly="0" labelOnly="1" grandRow="1" outline="0" axis="axisRow" fieldPosition="0">
        <references count="1">
          <reference field="4294967294" count="1" selected="0">
            <x v="35"/>
          </reference>
        </references>
      </pivotArea>
    </format>
    <format dxfId="2179">
      <pivotArea field="0" dataOnly="0" labelOnly="1" grandRow="1" outline="0" axis="axisRow" fieldPosition="0">
        <references count="1">
          <reference field="4294967294" count="1" selected="0">
            <x v="0"/>
          </reference>
        </references>
      </pivotArea>
    </format>
    <format dxfId="2178">
      <pivotArea field="0" dataOnly="0" labelOnly="1" grandRow="1" outline="0" axis="axisRow" fieldPosition="0">
        <references count="1">
          <reference field="4294967294" count="1" selected="0">
            <x v="1"/>
          </reference>
        </references>
      </pivotArea>
    </format>
    <format dxfId="2177">
      <pivotArea field="0" dataOnly="0" labelOnly="1" grandRow="1" outline="0" axis="axisRow" fieldPosition="0">
        <references count="1">
          <reference field="4294967294" count="1" selected="0">
            <x v="2"/>
          </reference>
        </references>
      </pivotArea>
    </format>
    <format dxfId="2176">
      <pivotArea field="0" dataOnly="0" labelOnly="1" grandRow="1" outline="0" axis="axisRow" fieldPosition="0">
        <references count="1">
          <reference field="4294967294" count="1" selected="0">
            <x v="3"/>
          </reference>
        </references>
      </pivotArea>
    </format>
    <format dxfId="2175">
      <pivotArea field="0" dataOnly="0" labelOnly="1" grandRow="1" outline="0" axis="axisRow" fieldPosition="0">
        <references count="1">
          <reference field="4294967294" count="1" selected="0">
            <x v="4"/>
          </reference>
        </references>
      </pivotArea>
    </format>
    <format dxfId="2174">
      <pivotArea field="0" dataOnly="0" labelOnly="1" grandRow="1" outline="0" axis="axisRow" fieldPosition="0">
        <references count="1">
          <reference field="4294967294" count="1" selected="0">
            <x v="5"/>
          </reference>
        </references>
      </pivotArea>
    </format>
    <format dxfId="2173">
      <pivotArea field="0" dataOnly="0" labelOnly="1" grandRow="1" outline="0" axis="axisRow" fieldPosition="0">
        <references count="1">
          <reference field="4294967294" count="1" selected="0">
            <x v="6"/>
          </reference>
        </references>
      </pivotArea>
    </format>
    <format dxfId="2172">
      <pivotArea field="0" dataOnly="0" labelOnly="1" grandRow="1" outline="0" axis="axisRow" fieldPosition="0">
        <references count="1">
          <reference field="4294967294" count="1" selected="0">
            <x v="7"/>
          </reference>
        </references>
      </pivotArea>
    </format>
    <format dxfId="2171">
      <pivotArea field="0" dataOnly="0" labelOnly="1" grandRow="1" outline="0" axis="axisRow" fieldPosition="0">
        <references count="1">
          <reference field="4294967294" count="1" selected="0">
            <x v="8"/>
          </reference>
        </references>
      </pivotArea>
    </format>
    <format dxfId="2170">
      <pivotArea field="0" dataOnly="0" labelOnly="1" grandRow="1" outline="0" axis="axisRow" fieldPosition="0">
        <references count="1">
          <reference field="4294967294" count="1" selected="0">
            <x v="9"/>
          </reference>
        </references>
      </pivotArea>
    </format>
    <format dxfId="2169">
      <pivotArea field="0" dataOnly="0" labelOnly="1" grandRow="1" outline="0" axis="axisRow" fieldPosition="0">
        <references count="1">
          <reference field="4294967294" count="1" selected="0">
            <x v="10"/>
          </reference>
        </references>
      </pivotArea>
    </format>
    <format dxfId="2168">
      <pivotArea field="0" dataOnly="0" labelOnly="1" grandRow="1" outline="0" axis="axisRow" fieldPosition="0">
        <references count="1">
          <reference field="4294967294" count="1" selected="0">
            <x v="11"/>
          </reference>
        </references>
      </pivotArea>
    </format>
    <format dxfId="2167">
      <pivotArea field="0" dataOnly="0" labelOnly="1" grandRow="1" outline="0" axis="axisRow" fieldPosition="0">
        <references count="1">
          <reference field="4294967294" count="1" selected="0">
            <x v="12"/>
          </reference>
        </references>
      </pivotArea>
    </format>
    <format dxfId="2166">
      <pivotArea field="0" dataOnly="0" labelOnly="1" grandRow="1" outline="0" axis="axisRow" fieldPosition="0">
        <references count="1">
          <reference field="4294967294" count="1" selected="0">
            <x v="13"/>
          </reference>
        </references>
      </pivotArea>
    </format>
    <format dxfId="2165">
      <pivotArea field="0" dataOnly="0" labelOnly="1" grandRow="1" outline="0" axis="axisRow" fieldPosition="0">
        <references count="1">
          <reference field="4294967294" count="1" selected="0">
            <x v="14"/>
          </reference>
        </references>
      </pivotArea>
    </format>
    <format dxfId="2164">
      <pivotArea field="0" dataOnly="0" labelOnly="1" grandRow="1" outline="0" axis="axisRow" fieldPosition="0">
        <references count="1">
          <reference field="4294967294" count="1" selected="0">
            <x v="15"/>
          </reference>
        </references>
      </pivotArea>
    </format>
    <format dxfId="2163">
      <pivotArea field="0" dataOnly="0" labelOnly="1" grandRow="1" outline="0" axis="axisRow" fieldPosition="0">
        <references count="1">
          <reference field="4294967294" count="1" selected="0">
            <x v="16"/>
          </reference>
        </references>
      </pivotArea>
    </format>
    <format dxfId="2162">
      <pivotArea field="0" dataOnly="0" labelOnly="1" grandRow="1" outline="0" axis="axisRow" fieldPosition="0">
        <references count="1">
          <reference field="4294967294" count="1" selected="0">
            <x v="17"/>
          </reference>
        </references>
      </pivotArea>
    </format>
    <format dxfId="2161">
      <pivotArea field="0" dataOnly="0" labelOnly="1" grandRow="1" outline="0" axis="axisRow" fieldPosition="0">
        <references count="1">
          <reference field="4294967294" count="1" selected="0">
            <x v="18"/>
          </reference>
        </references>
      </pivotArea>
    </format>
    <format dxfId="2160">
      <pivotArea field="0" dataOnly="0" labelOnly="1" grandRow="1" outline="0" axis="axisRow" fieldPosition="0">
        <references count="1">
          <reference field="4294967294" count="1" selected="0">
            <x v="19"/>
          </reference>
        </references>
      </pivotArea>
    </format>
    <format dxfId="2159">
      <pivotArea field="0" dataOnly="0" labelOnly="1" grandRow="1" outline="0" axis="axisRow" fieldPosition="0">
        <references count="1">
          <reference field="4294967294" count="1" selected="0">
            <x v="20"/>
          </reference>
        </references>
      </pivotArea>
    </format>
    <format dxfId="2158">
      <pivotArea field="0" dataOnly="0" labelOnly="1" grandRow="1" outline="0" axis="axisRow" fieldPosition="0">
        <references count="1">
          <reference field="4294967294" count="1" selected="0">
            <x v="21"/>
          </reference>
        </references>
      </pivotArea>
    </format>
    <format dxfId="2157">
      <pivotArea field="0" dataOnly="0" labelOnly="1" grandRow="1" outline="0" axis="axisRow" fieldPosition="0">
        <references count="1">
          <reference field="4294967294" count="1" selected="0">
            <x v="22"/>
          </reference>
        </references>
      </pivotArea>
    </format>
    <format dxfId="2156">
      <pivotArea field="0" dataOnly="0" labelOnly="1" grandRow="1" outline="0" axis="axisRow" fieldPosition="0">
        <references count="1">
          <reference field="4294967294" count="1" selected="0">
            <x v="23"/>
          </reference>
        </references>
      </pivotArea>
    </format>
    <format dxfId="2155">
      <pivotArea field="0" dataOnly="0" labelOnly="1" grandRow="1" outline="0" axis="axisRow" fieldPosition="0">
        <references count="1">
          <reference field="4294967294" count="1" selected="0">
            <x v="24"/>
          </reference>
        </references>
      </pivotArea>
    </format>
    <format dxfId="2154">
      <pivotArea field="0" dataOnly="0" labelOnly="1" grandRow="1" outline="0" axis="axisRow" fieldPosition="0">
        <references count="1">
          <reference field="4294967294" count="1" selected="0">
            <x v="25"/>
          </reference>
        </references>
      </pivotArea>
    </format>
    <format dxfId="2153">
      <pivotArea field="0" dataOnly="0" labelOnly="1" grandRow="1" outline="0" axis="axisRow" fieldPosition="0">
        <references count="1">
          <reference field="4294967294" count="1" selected="0">
            <x v="26"/>
          </reference>
        </references>
      </pivotArea>
    </format>
    <format dxfId="2152">
      <pivotArea field="0" dataOnly="0" labelOnly="1" grandRow="1" outline="0" axis="axisRow" fieldPosition="0">
        <references count="1">
          <reference field="4294967294" count="1" selected="0">
            <x v="27"/>
          </reference>
        </references>
      </pivotArea>
    </format>
    <format dxfId="2151">
      <pivotArea field="0" dataOnly="0" labelOnly="1" grandRow="1" outline="0" axis="axisRow" fieldPosition="0">
        <references count="1">
          <reference field="4294967294" count="1" selected="0">
            <x v="28"/>
          </reference>
        </references>
      </pivotArea>
    </format>
    <format dxfId="2150">
      <pivotArea field="0" dataOnly="0" labelOnly="1" grandRow="1" outline="0" axis="axisRow" fieldPosition="0">
        <references count="1">
          <reference field="4294967294" count="1" selected="0">
            <x v="29"/>
          </reference>
        </references>
      </pivotArea>
    </format>
    <format dxfId="2149">
      <pivotArea field="0" dataOnly="0" labelOnly="1" grandRow="1" outline="0" axis="axisRow" fieldPosition="0">
        <references count="1">
          <reference field="4294967294" count="1" selected="0">
            <x v="30"/>
          </reference>
        </references>
      </pivotArea>
    </format>
    <format dxfId="2148">
      <pivotArea field="0" dataOnly="0" labelOnly="1" grandRow="1" outline="0" axis="axisRow" fieldPosition="0">
        <references count="1">
          <reference field="4294967294" count="1" selected="0">
            <x v="31"/>
          </reference>
        </references>
      </pivotArea>
    </format>
    <format dxfId="2147">
      <pivotArea field="0" dataOnly="0" labelOnly="1" grandRow="1" outline="0" axis="axisRow" fieldPosition="0">
        <references count="1">
          <reference field="4294967294" count="1" selected="0">
            <x v="32"/>
          </reference>
        </references>
      </pivotArea>
    </format>
    <format dxfId="2146">
      <pivotArea field="0" dataOnly="0" labelOnly="1" grandRow="1" outline="0" axis="axisRow" fieldPosition="0">
        <references count="1">
          <reference field="4294967294" count="1" selected="0">
            <x v="33"/>
          </reference>
        </references>
      </pivotArea>
    </format>
    <format dxfId="2145">
      <pivotArea field="0" dataOnly="0" labelOnly="1" grandRow="1" outline="0" axis="axisRow" fieldPosition="0">
        <references count="1">
          <reference field="4294967294" count="1" selected="0">
            <x v="34"/>
          </reference>
        </references>
      </pivotArea>
    </format>
    <format dxfId="2144">
      <pivotArea field="0" dataOnly="0" labelOnly="1" grandRow="1" outline="0" axis="axisRow" fieldPosition="0">
        <references count="1">
          <reference field="4294967294" count="1" selected="0">
            <x v="35"/>
          </reference>
        </references>
      </pivotArea>
    </format>
    <format dxfId="2143">
      <pivotArea field="0" dataOnly="0" labelOnly="1" grandRow="1" outline="0" axis="axisRow" fieldPosition="0">
        <references count="1">
          <reference field="4294967294" count="1" selected="0">
            <x v="0"/>
          </reference>
        </references>
      </pivotArea>
    </format>
    <format dxfId="2142">
      <pivotArea field="0" dataOnly="0" labelOnly="1" grandRow="1" outline="0" axis="axisRow" fieldPosition="0">
        <references count="1">
          <reference field="4294967294" count="1" selected="0">
            <x v="1"/>
          </reference>
        </references>
      </pivotArea>
    </format>
    <format dxfId="2141">
      <pivotArea field="0" dataOnly="0" labelOnly="1" grandRow="1" outline="0" axis="axisRow" fieldPosition="0">
        <references count="1">
          <reference field="4294967294" count="1" selected="0">
            <x v="2"/>
          </reference>
        </references>
      </pivotArea>
    </format>
    <format dxfId="2140">
      <pivotArea field="0" dataOnly="0" labelOnly="1" grandRow="1" outline="0" axis="axisRow" fieldPosition="0">
        <references count="1">
          <reference field="4294967294" count="1" selected="0">
            <x v="3"/>
          </reference>
        </references>
      </pivotArea>
    </format>
    <format dxfId="2139">
      <pivotArea field="0" dataOnly="0" labelOnly="1" grandRow="1" outline="0" axis="axisRow" fieldPosition="0">
        <references count="1">
          <reference field="4294967294" count="1" selected="0">
            <x v="4"/>
          </reference>
        </references>
      </pivotArea>
    </format>
    <format dxfId="2138">
      <pivotArea field="0" dataOnly="0" labelOnly="1" grandRow="1" outline="0" axis="axisRow" fieldPosition="0">
        <references count="1">
          <reference field="4294967294" count="1" selected="0">
            <x v="5"/>
          </reference>
        </references>
      </pivotArea>
    </format>
    <format dxfId="2137">
      <pivotArea field="0" dataOnly="0" labelOnly="1" grandRow="1" outline="0" axis="axisRow" fieldPosition="0">
        <references count="1">
          <reference field="4294967294" count="1" selected="0">
            <x v="6"/>
          </reference>
        </references>
      </pivotArea>
    </format>
    <format dxfId="2136">
      <pivotArea field="0" dataOnly="0" labelOnly="1" grandRow="1" outline="0" axis="axisRow" fieldPosition="0">
        <references count="1">
          <reference field="4294967294" count="1" selected="0">
            <x v="7"/>
          </reference>
        </references>
      </pivotArea>
    </format>
    <format dxfId="2135">
      <pivotArea field="0" dataOnly="0" labelOnly="1" grandRow="1" outline="0" axis="axisRow" fieldPosition="0">
        <references count="1">
          <reference field="4294967294" count="1" selected="0">
            <x v="8"/>
          </reference>
        </references>
      </pivotArea>
    </format>
    <format dxfId="2134">
      <pivotArea field="0" dataOnly="0" labelOnly="1" grandRow="1" outline="0" axis="axisRow" fieldPosition="0">
        <references count="1">
          <reference field="4294967294" count="1" selected="0">
            <x v="9"/>
          </reference>
        </references>
      </pivotArea>
    </format>
    <format dxfId="2133">
      <pivotArea field="0" dataOnly="0" labelOnly="1" grandRow="1" outline="0" axis="axisRow" fieldPosition="0">
        <references count="1">
          <reference field="4294967294" count="1" selected="0">
            <x v="10"/>
          </reference>
        </references>
      </pivotArea>
    </format>
    <format dxfId="2132">
      <pivotArea field="0" dataOnly="0" labelOnly="1" grandRow="1" outline="0" axis="axisRow" fieldPosition="0">
        <references count="1">
          <reference field="4294967294" count="1" selected="0">
            <x v="11"/>
          </reference>
        </references>
      </pivotArea>
    </format>
    <format dxfId="2131">
      <pivotArea field="0" dataOnly="0" labelOnly="1" grandRow="1" outline="0" axis="axisRow" fieldPosition="0">
        <references count="1">
          <reference field="4294967294" count="1" selected="0">
            <x v="12"/>
          </reference>
        </references>
      </pivotArea>
    </format>
    <format dxfId="2130">
      <pivotArea field="0" dataOnly="0" labelOnly="1" grandRow="1" outline="0" axis="axisRow" fieldPosition="0">
        <references count="1">
          <reference field="4294967294" count="1" selected="0">
            <x v="13"/>
          </reference>
        </references>
      </pivotArea>
    </format>
    <format dxfId="2129">
      <pivotArea field="0" dataOnly="0" labelOnly="1" grandRow="1" outline="0" axis="axisRow" fieldPosition="0">
        <references count="1">
          <reference field="4294967294" count="1" selected="0">
            <x v="14"/>
          </reference>
        </references>
      </pivotArea>
    </format>
    <format dxfId="2128">
      <pivotArea field="0" dataOnly="0" labelOnly="1" grandRow="1" outline="0" axis="axisRow" fieldPosition="0">
        <references count="1">
          <reference field="4294967294" count="1" selected="0">
            <x v="15"/>
          </reference>
        </references>
      </pivotArea>
    </format>
    <format dxfId="2127">
      <pivotArea field="0" dataOnly="0" labelOnly="1" grandRow="1" outline="0" axis="axisRow" fieldPosition="0">
        <references count="1">
          <reference field="4294967294" count="1" selected="0">
            <x v="16"/>
          </reference>
        </references>
      </pivotArea>
    </format>
    <format dxfId="2126">
      <pivotArea field="0" dataOnly="0" labelOnly="1" grandRow="1" outline="0" axis="axisRow" fieldPosition="0">
        <references count="1">
          <reference field="4294967294" count="1" selected="0">
            <x v="17"/>
          </reference>
        </references>
      </pivotArea>
    </format>
    <format dxfId="2125">
      <pivotArea field="0" dataOnly="0" labelOnly="1" grandRow="1" outline="0" axis="axisRow" fieldPosition="0">
        <references count="1">
          <reference field="4294967294" count="1" selected="0">
            <x v="18"/>
          </reference>
        </references>
      </pivotArea>
    </format>
    <format dxfId="2124">
      <pivotArea field="0" dataOnly="0" labelOnly="1" grandRow="1" outline="0" axis="axisRow" fieldPosition="0">
        <references count="1">
          <reference field="4294967294" count="1" selected="0">
            <x v="19"/>
          </reference>
        </references>
      </pivotArea>
    </format>
    <format dxfId="2123">
      <pivotArea field="0" dataOnly="0" labelOnly="1" grandRow="1" outline="0" axis="axisRow" fieldPosition="0">
        <references count="1">
          <reference field="4294967294" count="1" selected="0">
            <x v="20"/>
          </reference>
        </references>
      </pivotArea>
    </format>
    <format dxfId="2122">
      <pivotArea field="0" dataOnly="0" labelOnly="1" grandRow="1" outline="0" axis="axisRow" fieldPosition="0">
        <references count="1">
          <reference field="4294967294" count="1" selected="0">
            <x v="21"/>
          </reference>
        </references>
      </pivotArea>
    </format>
    <format dxfId="2121">
      <pivotArea field="0" dataOnly="0" labelOnly="1" grandRow="1" outline="0" axis="axisRow" fieldPosition="0">
        <references count="1">
          <reference field="4294967294" count="1" selected="0">
            <x v="22"/>
          </reference>
        </references>
      </pivotArea>
    </format>
    <format dxfId="2120">
      <pivotArea field="0" dataOnly="0" labelOnly="1" grandRow="1" outline="0" axis="axisRow" fieldPosition="0">
        <references count="1">
          <reference field="4294967294" count="1" selected="0">
            <x v="23"/>
          </reference>
        </references>
      </pivotArea>
    </format>
    <format dxfId="2119">
      <pivotArea field="0" dataOnly="0" labelOnly="1" grandRow="1" outline="0" axis="axisRow" fieldPosition="0">
        <references count="1">
          <reference field="4294967294" count="1" selected="0">
            <x v="24"/>
          </reference>
        </references>
      </pivotArea>
    </format>
    <format dxfId="2118">
      <pivotArea field="0" dataOnly="0" labelOnly="1" grandRow="1" outline="0" axis="axisRow" fieldPosition="0">
        <references count="1">
          <reference field="4294967294" count="1" selected="0">
            <x v="25"/>
          </reference>
        </references>
      </pivotArea>
    </format>
    <format dxfId="2117">
      <pivotArea field="0" dataOnly="0" labelOnly="1" grandRow="1" outline="0" axis="axisRow" fieldPosition="0">
        <references count="1">
          <reference field="4294967294" count="1" selected="0">
            <x v="26"/>
          </reference>
        </references>
      </pivotArea>
    </format>
    <format dxfId="2116">
      <pivotArea field="0" dataOnly="0" labelOnly="1" grandRow="1" outline="0" axis="axisRow" fieldPosition="0">
        <references count="1">
          <reference field="4294967294" count="1" selected="0">
            <x v="27"/>
          </reference>
        </references>
      </pivotArea>
    </format>
    <format dxfId="2115">
      <pivotArea field="0" dataOnly="0" labelOnly="1" grandRow="1" outline="0" axis="axisRow" fieldPosition="0">
        <references count="1">
          <reference field="4294967294" count="1" selected="0">
            <x v="28"/>
          </reference>
        </references>
      </pivotArea>
    </format>
    <format dxfId="2114">
      <pivotArea field="0" dataOnly="0" labelOnly="1" grandRow="1" outline="0" axis="axisRow" fieldPosition="0">
        <references count="1">
          <reference field="4294967294" count="1" selected="0">
            <x v="29"/>
          </reference>
        </references>
      </pivotArea>
    </format>
    <format dxfId="2113">
      <pivotArea field="0" dataOnly="0" labelOnly="1" grandRow="1" outline="0" axis="axisRow" fieldPosition="0">
        <references count="1">
          <reference field="4294967294" count="1" selected="0">
            <x v="30"/>
          </reference>
        </references>
      </pivotArea>
    </format>
    <format dxfId="2112">
      <pivotArea field="0" dataOnly="0" labelOnly="1" grandRow="1" outline="0" axis="axisRow" fieldPosition="0">
        <references count="1">
          <reference field="4294967294" count="1" selected="0">
            <x v="31"/>
          </reference>
        </references>
      </pivotArea>
    </format>
    <format dxfId="2111">
      <pivotArea field="0" dataOnly="0" labelOnly="1" grandRow="1" outline="0" axis="axisRow" fieldPosition="0">
        <references count="1">
          <reference field="4294967294" count="1" selected="0">
            <x v="32"/>
          </reference>
        </references>
      </pivotArea>
    </format>
    <format dxfId="2110">
      <pivotArea field="0" dataOnly="0" labelOnly="1" grandRow="1" outline="0" axis="axisRow" fieldPosition="0">
        <references count="1">
          <reference field="4294967294" count="1" selected="0">
            <x v="33"/>
          </reference>
        </references>
      </pivotArea>
    </format>
    <format dxfId="2109">
      <pivotArea field="0" dataOnly="0" labelOnly="1" grandRow="1" outline="0" axis="axisRow" fieldPosition="0">
        <references count="1">
          <reference field="4294967294" count="1" selected="0">
            <x v="34"/>
          </reference>
        </references>
      </pivotArea>
    </format>
    <format dxfId="2108">
      <pivotArea field="0" dataOnly="0" labelOnly="1" grandRow="1" outline="0" axis="axisRow" fieldPosition="0">
        <references count="1">
          <reference field="4294967294" count="1" selected="0">
            <x v="35"/>
          </reference>
        </references>
      </pivotArea>
    </format>
    <format dxfId="2107">
      <pivotArea field="0" dataOnly="0" labelOnly="1" grandRow="1" outline="0" axis="axisRow" fieldPosition="0">
        <references count="1">
          <reference field="4294967294" count="1" selected="0">
            <x v="0"/>
          </reference>
        </references>
      </pivotArea>
    </format>
    <format dxfId="2106">
      <pivotArea field="0" dataOnly="0" labelOnly="1" grandRow="1" outline="0" axis="axisRow" fieldPosition="0">
        <references count="1">
          <reference field="4294967294" count="1" selected="0">
            <x v="1"/>
          </reference>
        </references>
      </pivotArea>
    </format>
    <format dxfId="2105">
      <pivotArea field="0" dataOnly="0" labelOnly="1" grandRow="1" outline="0" axis="axisRow" fieldPosition="0">
        <references count="1">
          <reference field="4294967294" count="1" selected="0">
            <x v="2"/>
          </reference>
        </references>
      </pivotArea>
    </format>
    <format dxfId="2104">
      <pivotArea field="0" dataOnly="0" labelOnly="1" grandRow="1" outline="0" axis="axisRow" fieldPosition="0">
        <references count="1">
          <reference field="4294967294" count="1" selected="0">
            <x v="3"/>
          </reference>
        </references>
      </pivotArea>
    </format>
    <format dxfId="2103">
      <pivotArea field="0" dataOnly="0" labelOnly="1" grandRow="1" outline="0" axis="axisRow" fieldPosition="0">
        <references count="1">
          <reference field="4294967294" count="1" selected="0">
            <x v="4"/>
          </reference>
        </references>
      </pivotArea>
    </format>
    <format dxfId="2102">
      <pivotArea field="0" dataOnly="0" labelOnly="1" grandRow="1" outline="0" axis="axisRow" fieldPosition="0">
        <references count="1">
          <reference field="4294967294" count="1" selected="0">
            <x v="5"/>
          </reference>
        </references>
      </pivotArea>
    </format>
    <format dxfId="2101">
      <pivotArea field="0" dataOnly="0" labelOnly="1" grandRow="1" outline="0" axis="axisRow" fieldPosition="0">
        <references count="1">
          <reference field="4294967294" count="1" selected="0">
            <x v="6"/>
          </reference>
        </references>
      </pivotArea>
    </format>
    <format dxfId="2100">
      <pivotArea field="0" dataOnly="0" labelOnly="1" grandRow="1" outline="0" axis="axisRow" fieldPosition="0">
        <references count="1">
          <reference field="4294967294" count="1" selected="0">
            <x v="7"/>
          </reference>
        </references>
      </pivotArea>
    </format>
    <format dxfId="2099">
      <pivotArea field="0" dataOnly="0" labelOnly="1" grandRow="1" outline="0" axis="axisRow" fieldPosition="0">
        <references count="1">
          <reference field="4294967294" count="1" selected="0">
            <x v="8"/>
          </reference>
        </references>
      </pivotArea>
    </format>
    <format dxfId="2098">
      <pivotArea field="0" dataOnly="0" labelOnly="1" grandRow="1" outline="0" axis="axisRow" fieldPosition="0">
        <references count="1">
          <reference field="4294967294" count="1" selected="0">
            <x v="9"/>
          </reference>
        </references>
      </pivotArea>
    </format>
    <format dxfId="2097">
      <pivotArea field="0" dataOnly="0" labelOnly="1" grandRow="1" outline="0" axis="axisRow" fieldPosition="0">
        <references count="1">
          <reference field="4294967294" count="1" selected="0">
            <x v="10"/>
          </reference>
        </references>
      </pivotArea>
    </format>
    <format dxfId="2096">
      <pivotArea field="0" dataOnly="0" labelOnly="1" grandRow="1" outline="0" axis="axisRow" fieldPosition="0">
        <references count="1">
          <reference field="4294967294" count="1" selected="0">
            <x v="11"/>
          </reference>
        </references>
      </pivotArea>
    </format>
    <format dxfId="2095">
      <pivotArea field="0" dataOnly="0" labelOnly="1" grandRow="1" outline="0" axis="axisRow" fieldPosition="0">
        <references count="1">
          <reference field="4294967294" count="1" selected="0">
            <x v="12"/>
          </reference>
        </references>
      </pivotArea>
    </format>
    <format dxfId="2094">
      <pivotArea field="0" dataOnly="0" labelOnly="1" grandRow="1" outline="0" axis="axisRow" fieldPosition="0">
        <references count="1">
          <reference field="4294967294" count="1" selected="0">
            <x v="13"/>
          </reference>
        </references>
      </pivotArea>
    </format>
    <format dxfId="2093">
      <pivotArea field="0" dataOnly="0" labelOnly="1" grandRow="1" outline="0" axis="axisRow" fieldPosition="0">
        <references count="1">
          <reference field="4294967294" count="1" selected="0">
            <x v="14"/>
          </reference>
        </references>
      </pivotArea>
    </format>
    <format dxfId="2092">
      <pivotArea field="0" dataOnly="0" labelOnly="1" grandRow="1" outline="0" axis="axisRow" fieldPosition="0">
        <references count="1">
          <reference field="4294967294" count="1" selected="0">
            <x v="15"/>
          </reference>
        </references>
      </pivotArea>
    </format>
    <format dxfId="2091">
      <pivotArea field="0" dataOnly="0" labelOnly="1" grandRow="1" outline="0" axis="axisRow" fieldPosition="0">
        <references count="1">
          <reference field="4294967294" count="1" selected="0">
            <x v="16"/>
          </reference>
        </references>
      </pivotArea>
    </format>
    <format dxfId="2090">
      <pivotArea field="0" dataOnly="0" labelOnly="1" grandRow="1" outline="0" axis="axisRow" fieldPosition="0">
        <references count="1">
          <reference field="4294967294" count="1" selected="0">
            <x v="17"/>
          </reference>
        </references>
      </pivotArea>
    </format>
    <format dxfId="2089">
      <pivotArea field="0" dataOnly="0" labelOnly="1" grandRow="1" outline="0" axis="axisRow" fieldPosition="0">
        <references count="1">
          <reference field="4294967294" count="1" selected="0">
            <x v="18"/>
          </reference>
        </references>
      </pivotArea>
    </format>
    <format dxfId="2088">
      <pivotArea field="0" dataOnly="0" labelOnly="1" grandRow="1" outline="0" axis="axisRow" fieldPosition="0">
        <references count="1">
          <reference field="4294967294" count="1" selected="0">
            <x v="19"/>
          </reference>
        </references>
      </pivotArea>
    </format>
    <format dxfId="2087">
      <pivotArea field="0" dataOnly="0" labelOnly="1" grandRow="1" outline="0" axis="axisRow" fieldPosition="0">
        <references count="1">
          <reference field="4294967294" count="1" selected="0">
            <x v="20"/>
          </reference>
        </references>
      </pivotArea>
    </format>
    <format dxfId="2086">
      <pivotArea field="0" dataOnly="0" labelOnly="1" grandRow="1" outline="0" axis="axisRow" fieldPosition="0">
        <references count="1">
          <reference field="4294967294" count="1" selected="0">
            <x v="21"/>
          </reference>
        </references>
      </pivotArea>
    </format>
    <format dxfId="2085">
      <pivotArea field="0" dataOnly="0" labelOnly="1" grandRow="1" outline="0" axis="axisRow" fieldPosition="0">
        <references count="1">
          <reference field="4294967294" count="1" selected="0">
            <x v="22"/>
          </reference>
        </references>
      </pivotArea>
    </format>
    <format dxfId="2084">
      <pivotArea field="0" dataOnly="0" labelOnly="1" grandRow="1" outline="0" axis="axisRow" fieldPosition="0">
        <references count="1">
          <reference field="4294967294" count="1" selected="0">
            <x v="23"/>
          </reference>
        </references>
      </pivotArea>
    </format>
    <format dxfId="2083">
      <pivotArea field="0" dataOnly="0" labelOnly="1" grandRow="1" outline="0" axis="axisRow" fieldPosition="0">
        <references count="1">
          <reference field="4294967294" count="1" selected="0">
            <x v="24"/>
          </reference>
        </references>
      </pivotArea>
    </format>
    <format dxfId="2082">
      <pivotArea field="0" dataOnly="0" labelOnly="1" grandRow="1" outline="0" axis="axisRow" fieldPosition="0">
        <references count="1">
          <reference field="4294967294" count="1" selected="0">
            <x v="25"/>
          </reference>
        </references>
      </pivotArea>
    </format>
    <format dxfId="2081">
      <pivotArea field="0" dataOnly="0" labelOnly="1" grandRow="1" outline="0" axis="axisRow" fieldPosition="0">
        <references count="1">
          <reference field="4294967294" count="1" selected="0">
            <x v="26"/>
          </reference>
        </references>
      </pivotArea>
    </format>
    <format dxfId="2080">
      <pivotArea field="0" dataOnly="0" labelOnly="1" grandRow="1" outline="0" axis="axisRow" fieldPosition="0">
        <references count="1">
          <reference field="4294967294" count="1" selected="0">
            <x v="27"/>
          </reference>
        </references>
      </pivotArea>
    </format>
    <format dxfId="2079">
      <pivotArea field="0" dataOnly="0" labelOnly="1" grandRow="1" outline="0" axis="axisRow" fieldPosition="0">
        <references count="1">
          <reference field="4294967294" count="1" selected="0">
            <x v="28"/>
          </reference>
        </references>
      </pivotArea>
    </format>
    <format dxfId="2078">
      <pivotArea field="0" dataOnly="0" labelOnly="1" grandRow="1" outline="0" axis="axisRow" fieldPosition="0">
        <references count="1">
          <reference field="4294967294" count="1" selected="0">
            <x v="29"/>
          </reference>
        </references>
      </pivotArea>
    </format>
    <format dxfId="2077">
      <pivotArea field="0" dataOnly="0" labelOnly="1" grandRow="1" outline="0" axis="axisRow" fieldPosition="0">
        <references count="1">
          <reference field="4294967294" count="1" selected="0">
            <x v="30"/>
          </reference>
        </references>
      </pivotArea>
    </format>
    <format dxfId="2076">
      <pivotArea field="0" dataOnly="0" labelOnly="1" grandRow="1" outline="0" axis="axisRow" fieldPosition="0">
        <references count="1">
          <reference field="4294967294" count="1" selected="0">
            <x v="31"/>
          </reference>
        </references>
      </pivotArea>
    </format>
    <format dxfId="2075">
      <pivotArea field="0" dataOnly="0" labelOnly="1" grandRow="1" outline="0" axis="axisRow" fieldPosition="0">
        <references count="1">
          <reference field="4294967294" count="1" selected="0">
            <x v="32"/>
          </reference>
        </references>
      </pivotArea>
    </format>
    <format dxfId="2074">
      <pivotArea field="0" dataOnly="0" labelOnly="1" grandRow="1" outline="0" axis="axisRow" fieldPosition="0">
        <references count="1">
          <reference field="4294967294" count="1" selected="0">
            <x v="33"/>
          </reference>
        </references>
      </pivotArea>
    </format>
    <format dxfId="2073">
      <pivotArea field="0" dataOnly="0" labelOnly="1" grandRow="1" outline="0" axis="axisRow" fieldPosition="0">
        <references count="1">
          <reference field="4294967294" count="1" selected="0">
            <x v="34"/>
          </reference>
        </references>
      </pivotArea>
    </format>
    <format dxfId="2072">
      <pivotArea field="0" dataOnly="0" labelOnly="1" grandRow="1" outline="0" axis="axisRow" fieldPosition="0">
        <references count="1">
          <reference field="4294967294" count="1" selected="0">
            <x v="35"/>
          </reference>
        </references>
      </pivotArea>
    </format>
    <format dxfId="2071">
      <pivotArea field="0" dataOnly="0" labelOnly="1" grandRow="1" outline="0" axis="axisRow" fieldPosition="0">
        <references count="1">
          <reference field="4294967294" count="1" selected="0">
            <x v="0"/>
          </reference>
        </references>
      </pivotArea>
    </format>
    <format dxfId="2070">
      <pivotArea field="0" dataOnly="0" labelOnly="1" grandRow="1" outline="0" axis="axisRow" fieldPosition="0">
        <references count="1">
          <reference field="4294967294" count="1" selected="0">
            <x v="1"/>
          </reference>
        </references>
      </pivotArea>
    </format>
    <format dxfId="2069">
      <pivotArea field="0" dataOnly="0" labelOnly="1" grandRow="1" outline="0" axis="axisRow" fieldPosition="0">
        <references count="1">
          <reference field="4294967294" count="1" selected="0">
            <x v="2"/>
          </reference>
        </references>
      </pivotArea>
    </format>
    <format dxfId="2068">
      <pivotArea field="0" dataOnly="0" labelOnly="1" grandRow="1" outline="0" axis="axisRow" fieldPosition="0">
        <references count="1">
          <reference field="4294967294" count="1" selected="0">
            <x v="3"/>
          </reference>
        </references>
      </pivotArea>
    </format>
    <format dxfId="2067">
      <pivotArea field="0" dataOnly="0" labelOnly="1" grandRow="1" outline="0" axis="axisRow" fieldPosition="0">
        <references count="1">
          <reference field="4294967294" count="1" selected="0">
            <x v="4"/>
          </reference>
        </references>
      </pivotArea>
    </format>
    <format dxfId="2066">
      <pivotArea field="0" dataOnly="0" labelOnly="1" grandRow="1" outline="0" axis="axisRow" fieldPosition="0">
        <references count="1">
          <reference field="4294967294" count="1" selected="0">
            <x v="5"/>
          </reference>
        </references>
      </pivotArea>
    </format>
    <format dxfId="2065">
      <pivotArea field="0" dataOnly="0" labelOnly="1" grandRow="1" outline="0" axis="axisRow" fieldPosition="0">
        <references count="1">
          <reference field="4294967294" count="1" selected="0">
            <x v="6"/>
          </reference>
        </references>
      </pivotArea>
    </format>
    <format dxfId="2064">
      <pivotArea field="0" dataOnly="0" labelOnly="1" grandRow="1" outline="0" axis="axisRow" fieldPosition="0">
        <references count="1">
          <reference field="4294967294" count="1" selected="0">
            <x v="7"/>
          </reference>
        </references>
      </pivotArea>
    </format>
    <format dxfId="2063">
      <pivotArea field="0" dataOnly="0" labelOnly="1" grandRow="1" outline="0" axis="axisRow" fieldPosition="0">
        <references count="1">
          <reference field="4294967294" count="1" selected="0">
            <x v="8"/>
          </reference>
        </references>
      </pivotArea>
    </format>
    <format dxfId="2062">
      <pivotArea field="0" dataOnly="0" labelOnly="1" grandRow="1" outline="0" axis="axisRow" fieldPosition="0">
        <references count="1">
          <reference field="4294967294" count="1" selected="0">
            <x v="9"/>
          </reference>
        </references>
      </pivotArea>
    </format>
    <format dxfId="2061">
      <pivotArea field="0" dataOnly="0" labelOnly="1" grandRow="1" outline="0" axis="axisRow" fieldPosition="0">
        <references count="1">
          <reference field="4294967294" count="1" selected="0">
            <x v="10"/>
          </reference>
        </references>
      </pivotArea>
    </format>
    <format dxfId="2060">
      <pivotArea field="0" dataOnly="0" labelOnly="1" grandRow="1" outline="0" axis="axisRow" fieldPosition="0">
        <references count="1">
          <reference field="4294967294" count="1" selected="0">
            <x v="11"/>
          </reference>
        </references>
      </pivotArea>
    </format>
    <format dxfId="2059">
      <pivotArea field="0" dataOnly="0" labelOnly="1" grandRow="1" outline="0" axis="axisRow" fieldPosition="0">
        <references count="1">
          <reference field="4294967294" count="1" selected="0">
            <x v="12"/>
          </reference>
        </references>
      </pivotArea>
    </format>
    <format dxfId="2058">
      <pivotArea field="0" dataOnly="0" labelOnly="1" grandRow="1" outline="0" axis="axisRow" fieldPosition="0">
        <references count="1">
          <reference field="4294967294" count="1" selected="0">
            <x v="13"/>
          </reference>
        </references>
      </pivotArea>
    </format>
    <format dxfId="2057">
      <pivotArea field="0" dataOnly="0" labelOnly="1" grandRow="1" outline="0" axis="axisRow" fieldPosition="0">
        <references count="1">
          <reference field="4294967294" count="1" selected="0">
            <x v="14"/>
          </reference>
        </references>
      </pivotArea>
    </format>
    <format dxfId="2056">
      <pivotArea field="0" dataOnly="0" labelOnly="1" grandRow="1" outline="0" axis="axisRow" fieldPosition="0">
        <references count="1">
          <reference field="4294967294" count="1" selected="0">
            <x v="15"/>
          </reference>
        </references>
      </pivotArea>
    </format>
    <format dxfId="2055">
      <pivotArea field="0" dataOnly="0" labelOnly="1" grandRow="1" outline="0" axis="axisRow" fieldPosition="0">
        <references count="1">
          <reference field="4294967294" count="1" selected="0">
            <x v="16"/>
          </reference>
        </references>
      </pivotArea>
    </format>
    <format dxfId="2054">
      <pivotArea field="0" dataOnly="0" labelOnly="1" grandRow="1" outline="0" axis="axisRow" fieldPosition="0">
        <references count="1">
          <reference field="4294967294" count="1" selected="0">
            <x v="17"/>
          </reference>
        </references>
      </pivotArea>
    </format>
    <format dxfId="2053">
      <pivotArea field="0" dataOnly="0" labelOnly="1" grandRow="1" outline="0" axis="axisRow" fieldPosition="0">
        <references count="1">
          <reference field="4294967294" count="1" selected="0">
            <x v="18"/>
          </reference>
        </references>
      </pivotArea>
    </format>
    <format dxfId="2052">
      <pivotArea field="0" dataOnly="0" labelOnly="1" grandRow="1" outline="0" axis="axisRow" fieldPosition="0">
        <references count="1">
          <reference field="4294967294" count="1" selected="0">
            <x v="19"/>
          </reference>
        </references>
      </pivotArea>
    </format>
    <format dxfId="2051">
      <pivotArea field="0" dataOnly="0" labelOnly="1" grandRow="1" outline="0" axis="axisRow" fieldPosition="0">
        <references count="1">
          <reference field="4294967294" count="1" selected="0">
            <x v="20"/>
          </reference>
        </references>
      </pivotArea>
    </format>
    <format dxfId="2050">
      <pivotArea field="0" dataOnly="0" labelOnly="1" grandRow="1" outline="0" axis="axisRow" fieldPosition="0">
        <references count="1">
          <reference field="4294967294" count="1" selected="0">
            <x v="21"/>
          </reference>
        </references>
      </pivotArea>
    </format>
    <format dxfId="2049">
      <pivotArea field="0" dataOnly="0" labelOnly="1" grandRow="1" outline="0" axis="axisRow" fieldPosition="0">
        <references count="1">
          <reference field="4294967294" count="1" selected="0">
            <x v="22"/>
          </reference>
        </references>
      </pivotArea>
    </format>
    <format dxfId="2048">
      <pivotArea field="0" dataOnly="0" labelOnly="1" grandRow="1" outline="0" axis="axisRow" fieldPosition="0">
        <references count="1">
          <reference field="4294967294" count="1" selected="0">
            <x v="23"/>
          </reference>
        </references>
      </pivotArea>
    </format>
    <format dxfId="2047">
      <pivotArea field="0" dataOnly="0" labelOnly="1" grandRow="1" outline="0" axis="axisRow" fieldPosition="0">
        <references count="1">
          <reference field="4294967294" count="1" selected="0">
            <x v="24"/>
          </reference>
        </references>
      </pivotArea>
    </format>
    <format dxfId="2046">
      <pivotArea field="0" dataOnly="0" labelOnly="1" grandRow="1" outline="0" axis="axisRow" fieldPosition="0">
        <references count="1">
          <reference field="4294967294" count="1" selected="0">
            <x v="25"/>
          </reference>
        </references>
      </pivotArea>
    </format>
    <format dxfId="2045">
      <pivotArea field="0" dataOnly="0" labelOnly="1" grandRow="1" outline="0" axis="axisRow" fieldPosition="0">
        <references count="1">
          <reference field="4294967294" count="1" selected="0">
            <x v="26"/>
          </reference>
        </references>
      </pivotArea>
    </format>
    <format dxfId="2044">
      <pivotArea field="0" dataOnly="0" labelOnly="1" grandRow="1" outline="0" axis="axisRow" fieldPosition="0">
        <references count="1">
          <reference field="4294967294" count="1" selected="0">
            <x v="27"/>
          </reference>
        </references>
      </pivotArea>
    </format>
    <format dxfId="2043">
      <pivotArea field="0" dataOnly="0" labelOnly="1" grandRow="1" outline="0" axis="axisRow" fieldPosition="0">
        <references count="1">
          <reference field="4294967294" count="1" selected="0">
            <x v="28"/>
          </reference>
        </references>
      </pivotArea>
    </format>
    <format dxfId="2042">
      <pivotArea field="0" dataOnly="0" labelOnly="1" grandRow="1" outline="0" axis="axisRow" fieldPosition="0">
        <references count="1">
          <reference field="4294967294" count="1" selected="0">
            <x v="29"/>
          </reference>
        </references>
      </pivotArea>
    </format>
    <format dxfId="2041">
      <pivotArea field="0" dataOnly="0" labelOnly="1" grandRow="1" outline="0" axis="axisRow" fieldPosition="0">
        <references count="1">
          <reference field="4294967294" count="1" selected="0">
            <x v="30"/>
          </reference>
        </references>
      </pivotArea>
    </format>
    <format dxfId="2040">
      <pivotArea field="0" dataOnly="0" labelOnly="1" grandRow="1" outline="0" axis="axisRow" fieldPosition="0">
        <references count="1">
          <reference field="4294967294" count="1" selected="0">
            <x v="31"/>
          </reference>
        </references>
      </pivotArea>
    </format>
    <format dxfId="2039">
      <pivotArea field="0" dataOnly="0" labelOnly="1" grandRow="1" outline="0" axis="axisRow" fieldPosition="0">
        <references count="1">
          <reference field="4294967294" count="1" selected="0">
            <x v="32"/>
          </reference>
        </references>
      </pivotArea>
    </format>
    <format dxfId="2038">
      <pivotArea field="0" dataOnly="0" labelOnly="1" grandRow="1" outline="0" axis="axisRow" fieldPosition="0">
        <references count="1">
          <reference field="4294967294" count="1" selected="0">
            <x v="33"/>
          </reference>
        </references>
      </pivotArea>
    </format>
    <format dxfId="2037">
      <pivotArea field="0" dataOnly="0" labelOnly="1" grandRow="1" outline="0" axis="axisRow" fieldPosition="0">
        <references count="1">
          <reference field="4294967294" count="1" selected="0">
            <x v="34"/>
          </reference>
        </references>
      </pivotArea>
    </format>
    <format dxfId="2036">
      <pivotArea field="0" dataOnly="0" labelOnly="1" grandRow="1" outline="0" axis="axisRow" fieldPosition="0">
        <references count="1">
          <reference field="4294967294" count="1" selected="0">
            <x v="35"/>
          </reference>
        </references>
      </pivotArea>
    </format>
    <format dxfId="2035">
      <pivotArea field="0" dataOnly="0" labelOnly="1" grandRow="1" outline="0" axis="axisRow" fieldPosition="0">
        <references count="1">
          <reference field="4294967294" count="1" selected="0">
            <x v="0"/>
          </reference>
        </references>
      </pivotArea>
    </format>
    <format dxfId="2034">
      <pivotArea field="0" dataOnly="0" labelOnly="1" grandRow="1" outline="0" axis="axisRow" fieldPosition="0">
        <references count="1">
          <reference field="4294967294" count="1" selected="0">
            <x v="1"/>
          </reference>
        </references>
      </pivotArea>
    </format>
    <format dxfId="2033">
      <pivotArea field="0" dataOnly="0" labelOnly="1" grandRow="1" outline="0" axis="axisRow" fieldPosition="0">
        <references count="1">
          <reference field="4294967294" count="1" selected="0">
            <x v="2"/>
          </reference>
        </references>
      </pivotArea>
    </format>
    <format dxfId="2032">
      <pivotArea field="0" dataOnly="0" labelOnly="1" grandRow="1" outline="0" axis="axisRow" fieldPosition="0">
        <references count="1">
          <reference field="4294967294" count="1" selected="0">
            <x v="3"/>
          </reference>
        </references>
      </pivotArea>
    </format>
    <format dxfId="2031">
      <pivotArea field="0" dataOnly="0" labelOnly="1" grandRow="1" outline="0" axis="axisRow" fieldPosition="0">
        <references count="1">
          <reference field="4294967294" count="1" selected="0">
            <x v="4"/>
          </reference>
        </references>
      </pivotArea>
    </format>
    <format dxfId="2030">
      <pivotArea field="0" dataOnly="0" labelOnly="1" grandRow="1" outline="0" axis="axisRow" fieldPosition="0">
        <references count="1">
          <reference field="4294967294" count="1" selected="0">
            <x v="5"/>
          </reference>
        </references>
      </pivotArea>
    </format>
    <format dxfId="2029">
      <pivotArea field="0" dataOnly="0" labelOnly="1" grandRow="1" outline="0" axis="axisRow" fieldPosition="0">
        <references count="1">
          <reference field="4294967294" count="1" selected="0">
            <x v="6"/>
          </reference>
        </references>
      </pivotArea>
    </format>
    <format dxfId="2028">
      <pivotArea field="0" dataOnly="0" labelOnly="1" grandRow="1" outline="0" axis="axisRow" fieldPosition="0">
        <references count="1">
          <reference field="4294967294" count="1" selected="0">
            <x v="7"/>
          </reference>
        </references>
      </pivotArea>
    </format>
    <format dxfId="2027">
      <pivotArea field="0" dataOnly="0" labelOnly="1" grandRow="1" outline="0" axis="axisRow" fieldPosition="0">
        <references count="1">
          <reference field="4294967294" count="1" selected="0">
            <x v="8"/>
          </reference>
        </references>
      </pivotArea>
    </format>
    <format dxfId="2026">
      <pivotArea field="0" dataOnly="0" labelOnly="1" grandRow="1" outline="0" axis="axisRow" fieldPosition="0">
        <references count="1">
          <reference field="4294967294" count="1" selected="0">
            <x v="9"/>
          </reference>
        </references>
      </pivotArea>
    </format>
    <format dxfId="2025">
      <pivotArea field="0" dataOnly="0" labelOnly="1" grandRow="1" outline="0" axis="axisRow" fieldPosition="0">
        <references count="1">
          <reference field="4294967294" count="1" selected="0">
            <x v="10"/>
          </reference>
        </references>
      </pivotArea>
    </format>
    <format dxfId="2024">
      <pivotArea field="0" dataOnly="0" labelOnly="1" grandRow="1" outline="0" axis="axisRow" fieldPosition="0">
        <references count="1">
          <reference field="4294967294" count="1" selected="0">
            <x v="11"/>
          </reference>
        </references>
      </pivotArea>
    </format>
    <format dxfId="2023">
      <pivotArea field="0" dataOnly="0" labelOnly="1" grandRow="1" outline="0" axis="axisRow" fieldPosition="0">
        <references count="1">
          <reference field="4294967294" count="1" selected="0">
            <x v="12"/>
          </reference>
        </references>
      </pivotArea>
    </format>
    <format dxfId="2022">
      <pivotArea field="0" dataOnly="0" labelOnly="1" grandRow="1" outline="0" axis="axisRow" fieldPosition="0">
        <references count="1">
          <reference field="4294967294" count="1" selected="0">
            <x v="13"/>
          </reference>
        </references>
      </pivotArea>
    </format>
    <format dxfId="2021">
      <pivotArea field="0" dataOnly="0" labelOnly="1" grandRow="1" outline="0" axis="axisRow" fieldPosition="0">
        <references count="1">
          <reference field="4294967294" count="1" selected="0">
            <x v="14"/>
          </reference>
        </references>
      </pivotArea>
    </format>
    <format dxfId="2020">
      <pivotArea field="0" dataOnly="0" labelOnly="1" grandRow="1" outline="0" axis="axisRow" fieldPosition="0">
        <references count="1">
          <reference field="4294967294" count="1" selected="0">
            <x v="15"/>
          </reference>
        </references>
      </pivotArea>
    </format>
    <format dxfId="2019">
      <pivotArea field="0" dataOnly="0" labelOnly="1" grandRow="1" outline="0" axis="axisRow" fieldPosition="0">
        <references count="1">
          <reference field="4294967294" count="1" selected="0">
            <x v="16"/>
          </reference>
        </references>
      </pivotArea>
    </format>
    <format dxfId="2018">
      <pivotArea field="0" dataOnly="0" labelOnly="1" grandRow="1" outline="0" axis="axisRow" fieldPosition="0">
        <references count="1">
          <reference field="4294967294" count="1" selected="0">
            <x v="17"/>
          </reference>
        </references>
      </pivotArea>
    </format>
    <format dxfId="2017">
      <pivotArea field="0" dataOnly="0" labelOnly="1" grandRow="1" outline="0" axis="axisRow" fieldPosition="0">
        <references count="1">
          <reference field="4294967294" count="1" selected="0">
            <x v="18"/>
          </reference>
        </references>
      </pivotArea>
    </format>
    <format dxfId="2016">
      <pivotArea field="0" dataOnly="0" labelOnly="1" grandRow="1" outline="0" axis="axisRow" fieldPosition="0">
        <references count="1">
          <reference field="4294967294" count="1" selected="0">
            <x v="19"/>
          </reference>
        </references>
      </pivotArea>
    </format>
    <format dxfId="2015">
      <pivotArea field="0" dataOnly="0" labelOnly="1" grandRow="1" outline="0" axis="axisRow" fieldPosition="0">
        <references count="1">
          <reference field="4294967294" count="1" selected="0">
            <x v="20"/>
          </reference>
        </references>
      </pivotArea>
    </format>
    <format dxfId="2014">
      <pivotArea field="0" dataOnly="0" labelOnly="1" grandRow="1" outline="0" axis="axisRow" fieldPosition="0">
        <references count="1">
          <reference field="4294967294" count="1" selected="0">
            <x v="21"/>
          </reference>
        </references>
      </pivotArea>
    </format>
    <format dxfId="2013">
      <pivotArea field="0" dataOnly="0" labelOnly="1" grandRow="1" outline="0" axis="axisRow" fieldPosition="0">
        <references count="1">
          <reference field="4294967294" count="1" selected="0">
            <x v="22"/>
          </reference>
        </references>
      </pivotArea>
    </format>
    <format dxfId="2012">
      <pivotArea field="0" dataOnly="0" labelOnly="1" grandRow="1" outline="0" axis="axisRow" fieldPosition="0">
        <references count="1">
          <reference field="4294967294" count="1" selected="0">
            <x v="23"/>
          </reference>
        </references>
      </pivotArea>
    </format>
    <format dxfId="2011">
      <pivotArea field="0" dataOnly="0" labelOnly="1" grandRow="1" outline="0" axis="axisRow" fieldPosition="0">
        <references count="1">
          <reference field="4294967294" count="1" selected="0">
            <x v="24"/>
          </reference>
        </references>
      </pivotArea>
    </format>
    <format dxfId="2010">
      <pivotArea field="0" dataOnly="0" labelOnly="1" grandRow="1" outline="0" axis="axisRow" fieldPosition="0">
        <references count="1">
          <reference field="4294967294" count="1" selected="0">
            <x v="25"/>
          </reference>
        </references>
      </pivotArea>
    </format>
    <format dxfId="2009">
      <pivotArea field="0" dataOnly="0" labelOnly="1" grandRow="1" outline="0" axis="axisRow" fieldPosition="0">
        <references count="1">
          <reference field="4294967294" count="1" selected="0">
            <x v="26"/>
          </reference>
        </references>
      </pivotArea>
    </format>
    <format dxfId="2008">
      <pivotArea field="0" dataOnly="0" labelOnly="1" grandRow="1" outline="0" axis="axisRow" fieldPosition="0">
        <references count="1">
          <reference field="4294967294" count="1" selected="0">
            <x v="27"/>
          </reference>
        </references>
      </pivotArea>
    </format>
    <format dxfId="2007">
      <pivotArea field="0" dataOnly="0" labelOnly="1" grandRow="1" outline="0" axis="axisRow" fieldPosition="0">
        <references count="1">
          <reference field="4294967294" count="1" selected="0">
            <x v="28"/>
          </reference>
        </references>
      </pivotArea>
    </format>
    <format dxfId="2006">
      <pivotArea field="0" dataOnly="0" labelOnly="1" grandRow="1" outline="0" axis="axisRow" fieldPosition="0">
        <references count="1">
          <reference field="4294967294" count="1" selected="0">
            <x v="29"/>
          </reference>
        </references>
      </pivotArea>
    </format>
    <format dxfId="2005">
      <pivotArea field="0" dataOnly="0" labelOnly="1" grandRow="1" outline="0" axis="axisRow" fieldPosition="0">
        <references count="1">
          <reference field="4294967294" count="1" selected="0">
            <x v="30"/>
          </reference>
        </references>
      </pivotArea>
    </format>
    <format dxfId="2004">
      <pivotArea field="0" dataOnly="0" labelOnly="1" grandRow="1" outline="0" axis="axisRow" fieldPosition="0">
        <references count="1">
          <reference field="4294967294" count="1" selected="0">
            <x v="31"/>
          </reference>
        </references>
      </pivotArea>
    </format>
    <format dxfId="2003">
      <pivotArea field="0" dataOnly="0" labelOnly="1" grandRow="1" outline="0" axis="axisRow" fieldPosition="0">
        <references count="1">
          <reference field="4294967294" count="1" selected="0">
            <x v="32"/>
          </reference>
        </references>
      </pivotArea>
    </format>
    <format dxfId="2002">
      <pivotArea field="0" dataOnly="0" labelOnly="1" grandRow="1" outline="0" axis="axisRow" fieldPosition="0">
        <references count="1">
          <reference field="4294967294" count="1" selected="0">
            <x v="33"/>
          </reference>
        </references>
      </pivotArea>
    </format>
    <format dxfId="2001">
      <pivotArea field="0" dataOnly="0" labelOnly="1" grandRow="1" outline="0" axis="axisRow" fieldPosition="0">
        <references count="1">
          <reference field="4294967294" count="1" selected="0">
            <x v="34"/>
          </reference>
        </references>
      </pivotArea>
    </format>
    <format dxfId="2000">
      <pivotArea field="0" dataOnly="0" labelOnly="1" grandRow="1" outline="0" axis="axisRow" fieldPosition="0">
        <references count="1">
          <reference field="4294967294" count="1" selected="0">
            <x v="35"/>
          </reference>
        </references>
      </pivotArea>
    </format>
    <format dxfId="1999">
      <pivotArea field="0" dataOnly="0" labelOnly="1" grandRow="1" outline="0" axis="axisRow" fieldPosition="0">
        <references count="1">
          <reference field="4294967294" count="1" selected="0">
            <x v="0"/>
          </reference>
        </references>
      </pivotArea>
    </format>
    <format dxfId="1998">
      <pivotArea field="0" dataOnly="0" labelOnly="1" grandRow="1" outline="0" axis="axisRow" fieldPosition="0">
        <references count="1">
          <reference field="4294967294" count="1" selected="0">
            <x v="1"/>
          </reference>
        </references>
      </pivotArea>
    </format>
    <format dxfId="1997">
      <pivotArea field="0" dataOnly="0" labelOnly="1" grandRow="1" outline="0" axis="axisRow" fieldPosition="0">
        <references count="1">
          <reference field="4294967294" count="1" selected="0">
            <x v="2"/>
          </reference>
        </references>
      </pivotArea>
    </format>
    <format dxfId="1996">
      <pivotArea field="0" dataOnly="0" labelOnly="1" grandRow="1" outline="0" axis="axisRow" fieldPosition="0">
        <references count="1">
          <reference field="4294967294" count="1" selected="0">
            <x v="3"/>
          </reference>
        </references>
      </pivotArea>
    </format>
    <format dxfId="1995">
      <pivotArea field="0" dataOnly="0" labelOnly="1" grandRow="1" outline="0" axis="axisRow" fieldPosition="0">
        <references count="1">
          <reference field="4294967294" count="1" selected="0">
            <x v="4"/>
          </reference>
        </references>
      </pivotArea>
    </format>
    <format dxfId="1994">
      <pivotArea field="0" dataOnly="0" labelOnly="1" grandRow="1" outline="0" axis="axisRow" fieldPosition="0">
        <references count="1">
          <reference field="4294967294" count="1" selected="0">
            <x v="5"/>
          </reference>
        </references>
      </pivotArea>
    </format>
    <format dxfId="1993">
      <pivotArea field="0" dataOnly="0" labelOnly="1" grandRow="1" outline="0" axis="axisRow" fieldPosition="0">
        <references count="1">
          <reference field="4294967294" count="1" selected="0">
            <x v="6"/>
          </reference>
        </references>
      </pivotArea>
    </format>
    <format dxfId="1992">
      <pivotArea field="0" dataOnly="0" labelOnly="1" grandRow="1" outline="0" axis="axisRow" fieldPosition="0">
        <references count="1">
          <reference field="4294967294" count="1" selected="0">
            <x v="7"/>
          </reference>
        </references>
      </pivotArea>
    </format>
    <format dxfId="1991">
      <pivotArea field="0" dataOnly="0" labelOnly="1" grandRow="1" outline="0" axis="axisRow" fieldPosition="0">
        <references count="1">
          <reference field="4294967294" count="1" selected="0">
            <x v="8"/>
          </reference>
        </references>
      </pivotArea>
    </format>
    <format dxfId="1990">
      <pivotArea field="0" dataOnly="0" labelOnly="1" grandRow="1" outline="0" axis="axisRow" fieldPosition="0">
        <references count="1">
          <reference field="4294967294" count="1" selected="0">
            <x v="9"/>
          </reference>
        </references>
      </pivotArea>
    </format>
    <format dxfId="1989">
      <pivotArea field="0" dataOnly="0" labelOnly="1" grandRow="1" outline="0" axis="axisRow" fieldPosition="0">
        <references count="1">
          <reference field="4294967294" count="1" selected="0">
            <x v="10"/>
          </reference>
        </references>
      </pivotArea>
    </format>
    <format dxfId="1988">
      <pivotArea field="0" dataOnly="0" labelOnly="1" grandRow="1" outline="0" axis="axisRow" fieldPosition="0">
        <references count="1">
          <reference field="4294967294" count="1" selected="0">
            <x v="11"/>
          </reference>
        </references>
      </pivotArea>
    </format>
    <format dxfId="1987">
      <pivotArea field="0" dataOnly="0" labelOnly="1" grandRow="1" outline="0" axis="axisRow" fieldPosition="0">
        <references count="1">
          <reference field="4294967294" count="1" selected="0">
            <x v="12"/>
          </reference>
        </references>
      </pivotArea>
    </format>
    <format dxfId="1986">
      <pivotArea field="0" dataOnly="0" labelOnly="1" grandRow="1" outline="0" axis="axisRow" fieldPosition="0">
        <references count="1">
          <reference field="4294967294" count="1" selected="0">
            <x v="13"/>
          </reference>
        </references>
      </pivotArea>
    </format>
    <format dxfId="1985">
      <pivotArea field="0" dataOnly="0" labelOnly="1" grandRow="1" outline="0" axis="axisRow" fieldPosition="0">
        <references count="1">
          <reference field="4294967294" count="1" selected="0">
            <x v="14"/>
          </reference>
        </references>
      </pivotArea>
    </format>
    <format dxfId="1984">
      <pivotArea field="0" dataOnly="0" labelOnly="1" grandRow="1" outline="0" axis="axisRow" fieldPosition="0">
        <references count="1">
          <reference field="4294967294" count="1" selected="0">
            <x v="15"/>
          </reference>
        </references>
      </pivotArea>
    </format>
    <format dxfId="1983">
      <pivotArea field="0" dataOnly="0" labelOnly="1" grandRow="1" outline="0" axis="axisRow" fieldPosition="0">
        <references count="1">
          <reference field="4294967294" count="1" selected="0">
            <x v="16"/>
          </reference>
        </references>
      </pivotArea>
    </format>
    <format dxfId="1982">
      <pivotArea field="0" dataOnly="0" labelOnly="1" grandRow="1" outline="0" axis="axisRow" fieldPosition="0">
        <references count="1">
          <reference field="4294967294" count="1" selected="0">
            <x v="17"/>
          </reference>
        </references>
      </pivotArea>
    </format>
    <format dxfId="1981">
      <pivotArea field="0" dataOnly="0" labelOnly="1" grandRow="1" outline="0" axis="axisRow" fieldPosition="0">
        <references count="1">
          <reference field="4294967294" count="1" selected="0">
            <x v="18"/>
          </reference>
        </references>
      </pivotArea>
    </format>
    <format dxfId="1980">
      <pivotArea field="0" dataOnly="0" labelOnly="1" grandRow="1" outline="0" axis="axisRow" fieldPosition="0">
        <references count="1">
          <reference field="4294967294" count="1" selected="0">
            <x v="19"/>
          </reference>
        </references>
      </pivotArea>
    </format>
    <format dxfId="1979">
      <pivotArea field="0" dataOnly="0" labelOnly="1" grandRow="1" outline="0" axis="axisRow" fieldPosition="0">
        <references count="1">
          <reference field="4294967294" count="1" selected="0">
            <x v="20"/>
          </reference>
        </references>
      </pivotArea>
    </format>
    <format dxfId="1978">
      <pivotArea field="0" dataOnly="0" labelOnly="1" grandRow="1" outline="0" axis="axisRow" fieldPosition="0">
        <references count="1">
          <reference field="4294967294" count="1" selected="0">
            <x v="21"/>
          </reference>
        </references>
      </pivotArea>
    </format>
    <format dxfId="1977">
      <pivotArea field="0" dataOnly="0" labelOnly="1" grandRow="1" outline="0" axis="axisRow" fieldPosition="0">
        <references count="1">
          <reference field="4294967294" count="1" selected="0">
            <x v="22"/>
          </reference>
        </references>
      </pivotArea>
    </format>
    <format dxfId="1976">
      <pivotArea field="0" dataOnly="0" labelOnly="1" grandRow="1" outline="0" axis="axisRow" fieldPosition="0">
        <references count="1">
          <reference field="4294967294" count="1" selected="0">
            <x v="23"/>
          </reference>
        </references>
      </pivotArea>
    </format>
    <format dxfId="1975">
      <pivotArea field="0" dataOnly="0" labelOnly="1" grandRow="1" outline="0" axis="axisRow" fieldPosition="0">
        <references count="1">
          <reference field="4294967294" count="1" selected="0">
            <x v="24"/>
          </reference>
        </references>
      </pivotArea>
    </format>
    <format dxfId="1974">
      <pivotArea field="0" dataOnly="0" labelOnly="1" grandRow="1" outline="0" axis="axisRow" fieldPosition="0">
        <references count="1">
          <reference field="4294967294" count="1" selected="0">
            <x v="25"/>
          </reference>
        </references>
      </pivotArea>
    </format>
    <format dxfId="1973">
      <pivotArea field="0" dataOnly="0" labelOnly="1" grandRow="1" outline="0" axis="axisRow" fieldPosition="0">
        <references count="1">
          <reference field="4294967294" count="1" selected="0">
            <x v="26"/>
          </reference>
        </references>
      </pivotArea>
    </format>
    <format dxfId="1972">
      <pivotArea field="0" dataOnly="0" labelOnly="1" grandRow="1" outline="0" axis="axisRow" fieldPosition="0">
        <references count="1">
          <reference field="4294967294" count="1" selected="0">
            <x v="27"/>
          </reference>
        </references>
      </pivotArea>
    </format>
    <format dxfId="1971">
      <pivotArea field="0" dataOnly="0" labelOnly="1" grandRow="1" outline="0" axis="axisRow" fieldPosition="0">
        <references count="1">
          <reference field="4294967294" count="1" selected="0">
            <x v="28"/>
          </reference>
        </references>
      </pivotArea>
    </format>
    <format dxfId="1970">
      <pivotArea field="0" dataOnly="0" labelOnly="1" grandRow="1" outline="0" axis="axisRow" fieldPosition="0">
        <references count="1">
          <reference field="4294967294" count="1" selected="0">
            <x v="29"/>
          </reference>
        </references>
      </pivotArea>
    </format>
    <format dxfId="1969">
      <pivotArea field="0" dataOnly="0" labelOnly="1" grandRow="1" outline="0" axis="axisRow" fieldPosition="0">
        <references count="1">
          <reference field="4294967294" count="1" selected="0">
            <x v="30"/>
          </reference>
        </references>
      </pivotArea>
    </format>
    <format dxfId="1968">
      <pivotArea field="0" dataOnly="0" labelOnly="1" grandRow="1" outline="0" axis="axisRow" fieldPosition="0">
        <references count="1">
          <reference field="4294967294" count="1" selected="0">
            <x v="31"/>
          </reference>
        </references>
      </pivotArea>
    </format>
    <format dxfId="1967">
      <pivotArea field="0" dataOnly="0" labelOnly="1" grandRow="1" outline="0" axis="axisRow" fieldPosition="0">
        <references count="1">
          <reference field="4294967294" count="1" selected="0">
            <x v="32"/>
          </reference>
        </references>
      </pivotArea>
    </format>
    <format dxfId="1966">
      <pivotArea field="0" dataOnly="0" labelOnly="1" grandRow="1" outline="0" axis="axisRow" fieldPosition="0">
        <references count="1">
          <reference field="4294967294" count="1" selected="0">
            <x v="33"/>
          </reference>
        </references>
      </pivotArea>
    </format>
    <format dxfId="1965">
      <pivotArea field="0" dataOnly="0" labelOnly="1" grandRow="1" outline="0" axis="axisRow" fieldPosition="0">
        <references count="1">
          <reference field="4294967294" count="1" selected="0">
            <x v="34"/>
          </reference>
        </references>
      </pivotArea>
    </format>
    <format dxfId="1964">
      <pivotArea field="0" dataOnly="0" labelOnly="1" grandRow="1" outline="0" axis="axisRow" fieldPosition="0">
        <references count="1">
          <reference field="4294967294" count="1" selected="0">
            <x v="35"/>
          </reference>
        </references>
      </pivotArea>
    </format>
    <format dxfId="1963">
      <pivotArea field="0" dataOnly="0" labelOnly="1" grandRow="1" outline="0" axis="axisRow" fieldPosition="0">
        <references count="1">
          <reference field="4294967294" count="1" selected="0">
            <x v="0"/>
          </reference>
        </references>
      </pivotArea>
    </format>
    <format dxfId="1962">
      <pivotArea field="0" dataOnly="0" labelOnly="1" grandRow="1" outline="0" axis="axisRow" fieldPosition="0">
        <references count="1">
          <reference field="4294967294" count="1" selected="0">
            <x v="1"/>
          </reference>
        </references>
      </pivotArea>
    </format>
    <format dxfId="1961">
      <pivotArea field="0" dataOnly="0" labelOnly="1" grandRow="1" outline="0" axis="axisRow" fieldPosition="0">
        <references count="1">
          <reference field="4294967294" count="1" selected="0">
            <x v="2"/>
          </reference>
        </references>
      </pivotArea>
    </format>
    <format dxfId="1960">
      <pivotArea field="0" dataOnly="0" labelOnly="1" grandRow="1" outline="0" axis="axisRow" fieldPosition="0">
        <references count="1">
          <reference field="4294967294" count="1" selected="0">
            <x v="3"/>
          </reference>
        </references>
      </pivotArea>
    </format>
    <format dxfId="1959">
      <pivotArea field="0" dataOnly="0" labelOnly="1" grandRow="1" outline="0" axis="axisRow" fieldPosition="0">
        <references count="1">
          <reference field="4294967294" count="1" selected="0">
            <x v="4"/>
          </reference>
        </references>
      </pivotArea>
    </format>
    <format dxfId="1958">
      <pivotArea field="0" dataOnly="0" labelOnly="1" grandRow="1" outline="0" axis="axisRow" fieldPosition="0">
        <references count="1">
          <reference field="4294967294" count="1" selected="0">
            <x v="5"/>
          </reference>
        </references>
      </pivotArea>
    </format>
    <format dxfId="1957">
      <pivotArea field="0" dataOnly="0" labelOnly="1" grandRow="1" outline="0" axis="axisRow" fieldPosition="0">
        <references count="1">
          <reference field="4294967294" count="1" selected="0">
            <x v="6"/>
          </reference>
        </references>
      </pivotArea>
    </format>
    <format dxfId="1956">
      <pivotArea field="0" dataOnly="0" labelOnly="1" grandRow="1" outline="0" axis="axisRow" fieldPosition="0">
        <references count="1">
          <reference field="4294967294" count="1" selected="0">
            <x v="7"/>
          </reference>
        </references>
      </pivotArea>
    </format>
    <format dxfId="1955">
      <pivotArea field="0" dataOnly="0" labelOnly="1" grandRow="1" outline="0" axis="axisRow" fieldPosition="0">
        <references count="1">
          <reference field="4294967294" count="1" selected="0">
            <x v="8"/>
          </reference>
        </references>
      </pivotArea>
    </format>
    <format dxfId="1954">
      <pivotArea field="0" dataOnly="0" labelOnly="1" grandRow="1" outline="0" axis="axisRow" fieldPosition="0">
        <references count="1">
          <reference field="4294967294" count="1" selected="0">
            <x v="9"/>
          </reference>
        </references>
      </pivotArea>
    </format>
    <format dxfId="1953">
      <pivotArea field="0" dataOnly="0" labelOnly="1" grandRow="1" outline="0" axis="axisRow" fieldPosition="0">
        <references count="1">
          <reference field="4294967294" count="1" selected="0">
            <x v="10"/>
          </reference>
        </references>
      </pivotArea>
    </format>
    <format dxfId="1952">
      <pivotArea field="0" dataOnly="0" labelOnly="1" grandRow="1" outline="0" axis="axisRow" fieldPosition="0">
        <references count="1">
          <reference field="4294967294" count="1" selected="0">
            <x v="11"/>
          </reference>
        </references>
      </pivotArea>
    </format>
    <format dxfId="1951">
      <pivotArea field="0" dataOnly="0" labelOnly="1" grandRow="1" outline="0" axis="axisRow" fieldPosition="0">
        <references count="1">
          <reference field="4294967294" count="1" selected="0">
            <x v="12"/>
          </reference>
        </references>
      </pivotArea>
    </format>
    <format dxfId="1950">
      <pivotArea field="0" dataOnly="0" labelOnly="1" grandRow="1" outline="0" axis="axisRow" fieldPosition="0">
        <references count="1">
          <reference field="4294967294" count="1" selected="0">
            <x v="13"/>
          </reference>
        </references>
      </pivotArea>
    </format>
    <format dxfId="1949">
      <pivotArea field="0" dataOnly="0" labelOnly="1" grandRow="1" outline="0" axis="axisRow" fieldPosition="0">
        <references count="1">
          <reference field="4294967294" count="1" selected="0">
            <x v="14"/>
          </reference>
        </references>
      </pivotArea>
    </format>
    <format dxfId="1948">
      <pivotArea field="0" dataOnly="0" labelOnly="1" grandRow="1" outline="0" axis="axisRow" fieldPosition="0">
        <references count="1">
          <reference field="4294967294" count="1" selected="0">
            <x v="15"/>
          </reference>
        </references>
      </pivotArea>
    </format>
    <format dxfId="1947">
      <pivotArea field="0" dataOnly="0" labelOnly="1" grandRow="1" outline="0" axis="axisRow" fieldPosition="0">
        <references count="1">
          <reference field="4294967294" count="1" selected="0">
            <x v="16"/>
          </reference>
        </references>
      </pivotArea>
    </format>
    <format dxfId="1946">
      <pivotArea field="0" dataOnly="0" labelOnly="1" grandRow="1" outline="0" axis="axisRow" fieldPosition="0">
        <references count="1">
          <reference field="4294967294" count="1" selected="0">
            <x v="17"/>
          </reference>
        </references>
      </pivotArea>
    </format>
    <format dxfId="1945">
      <pivotArea field="0" dataOnly="0" labelOnly="1" grandRow="1" outline="0" axis="axisRow" fieldPosition="0">
        <references count="1">
          <reference field="4294967294" count="1" selected="0">
            <x v="18"/>
          </reference>
        </references>
      </pivotArea>
    </format>
    <format dxfId="1944">
      <pivotArea field="0" dataOnly="0" labelOnly="1" grandRow="1" outline="0" axis="axisRow" fieldPosition="0">
        <references count="1">
          <reference field="4294967294" count="1" selected="0">
            <x v="19"/>
          </reference>
        </references>
      </pivotArea>
    </format>
    <format dxfId="1943">
      <pivotArea field="0" dataOnly="0" labelOnly="1" grandRow="1" outline="0" axis="axisRow" fieldPosition="0">
        <references count="1">
          <reference field="4294967294" count="1" selected="0">
            <x v="20"/>
          </reference>
        </references>
      </pivotArea>
    </format>
    <format dxfId="1942">
      <pivotArea field="0" dataOnly="0" labelOnly="1" grandRow="1" outline="0" axis="axisRow" fieldPosition="0">
        <references count="1">
          <reference field="4294967294" count="1" selected="0">
            <x v="21"/>
          </reference>
        </references>
      </pivotArea>
    </format>
    <format dxfId="1941">
      <pivotArea field="0" dataOnly="0" labelOnly="1" grandRow="1" outline="0" axis="axisRow" fieldPosition="0">
        <references count="1">
          <reference field="4294967294" count="1" selected="0">
            <x v="22"/>
          </reference>
        </references>
      </pivotArea>
    </format>
    <format dxfId="1940">
      <pivotArea field="0" dataOnly="0" labelOnly="1" grandRow="1" outline="0" axis="axisRow" fieldPosition="0">
        <references count="1">
          <reference field="4294967294" count="1" selected="0">
            <x v="23"/>
          </reference>
        </references>
      </pivotArea>
    </format>
    <format dxfId="1939">
      <pivotArea field="0" dataOnly="0" labelOnly="1" grandRow="1" outline="0" axis="axisRow" fieldPosition="0">
        <references count="1">
          <reference field="4294967294" count="1" selected="0">
            <x v="24"/>
          </reference>
        </references>
      </pivotArea>
    </format>
    <format dxfId="1938">
      <pivotArea field="0" dataOnly="0" labelOnly="1" grandRow="1" outline="0" axis="axisRow" fieldPosition="0">
        <references count="1">
          <reference field="4294967294" count="1" selected="0">
            <x v="25"/>
          </reference>
        </references>
      </pivotArea>
    </format>
    <format dxfId="1937">
      <pivotArea field="0" dataOnly="0" labelOnly="1" grandRow="1" outline="0" axis="axisRow" fieldPosition="0">
        <references count="1">
          <reference field="4294967294" count="1" selected="0">
            <x v="26"/>
          </reference>
        </references>
      </pivotArea>
    </format>
    <format dxfId="1936">
      <pivotArea field="0" dataOnly="0" labelOnly="1" grandRow="1" outline="0" axis="axisRow" fieldPosition="0">
        <references count="1">
          <reference field="4294967294" count="1" selected="0">
            <x v="27"/>
          </reference>
        </references>
      </pivotArea>
    </format>
    <format dxfId="1935">
      <pivotArea field="0" dataOnly="0" labelOnly="1" grandRow="1" outline="0" axis="axisRow" fieldPosition="0">
        <references count="1">
          <reference field="4294967294" count="1" selected="0">
            <x v="28"/>
          </reference>
        </references>
      </pivotArea>
    </format>
    <format dxfId="1934">
      <pivotArea field="0" dataOnly="0" labelOnly="1" grandRow="1" outline="0" axis="axisRow" fieldPosition="0">
        <references count="1">
          <reference field="4294967294" count="1" selected="0">
            <x v="29"/>
          </reference>
        </references>
      </pivotArea>
    </format>
    <format dxfId="1933">
      <pivotArea field="0" dataOnly="0" labelOnly="1" grandRow="1" outline="0" axis="axisRow" fieldPosition="0">
        <references count="1">
          <reference field="4294967294" count="1" selected="0">
            <x v="30"/>
          </reference>
        </references>
      </pivotArea>
    </format>
    <format dxfId="1932">
      <pivotArea field="0" dataOnly="0" labelOnly="1" grandRow="1" outline="0" axis="axisRow" fieldPosition="0">
        <references count="1">
          <reference field="4294967294" count="1" selected="0">
            <x v="31"/>
          </reference>
        </references>
      </pivotArea>
    </format>
    <format dxfId="1931">
      <pivotArea field="0" dataOnly="0" labelOnly="1" grandRow="1" outline="0" axis="axisRow" fieldPosition="0">
        <references count="1">
          <reference field="4294967294" count="1" selected="0">
            <x v="32"/>
          </reference>
        </references>
      </pivotArea>
    </format>
    <format dxfId="1930">
      <pivotArea field="0" dataOnly="0" labelOnly="1" grandRow="1" outline="0" axis="axisRow" fieldPosition="0">
        <references count="1">
          <reference field="4294967294" count="1" selected="0">
            <x v="33"/>
          </reference>
        </references>
      </pivotArea>
    </format>
    <format dxfId="1929">
      <pivotArea field="0" dataOnly="0" labelOnly="1" grandRow="1" outline="0" axis="axisRow" fieldPosition="0">
        <references count="1">
          <reference field="4294967294" count="1" selected="0">
            <x v="34"/>
          </reference>
        </references>
      </pivotArea>
    </format>
    <format dxfId="1928">
      <pivotArea field="0" dataOnly="0" labelOnly="1" grandRow="1" outline="0" axis="axisRow" fieldPosition="0">
        <references count="1">
          <reference field="4294967294" count="1" selected="0">
            <x v="35"/>
          </reference>
        </references>
      </pivotArea>
    </format>
    <format dxfId="1927">
      <pivotArea field="0" dataOnly="0" labelOnly="1" grandRow="1" outline="0" axis="axisRow" fieldPosition="0">
        <references count="1">
          <reference field="4294967294" count="1" selected="0">
            <x v="0"/>
          </reference>
        </references>
      </pivotArea>
    </format>
    <format dxfId="1926">
      <pivotArea field="0" dataOnly="0" labelOnly="1" grandRow="1" outline="0" axis="axisRow" fieldPosition="0">
        <references count="1">
          <reference field="4294967294" count="1" selected="0">
            <x v="1"/>
          </reference>
        </references>
      </pivotArea>
    </format>
    <format dxfId="1925">
      <pivotArea field="0" dataOnly="0" labelOnly="1" grandRow="1" outline="0" axis="axisRow" fieldPosition="0">
        <references count="1">
          <reference field="4294967294" count="1" selected="0">
            <x v="2"/>
          </reference>
        </references>
      </pivotArea>
    </format>
    <format dxfId="1924">
      <pivotArea field="0" dataOnly="0" labelOnly="1" grandRow="1" outline="0" axis="axisRow" fieldPosition="0">
        <references count="1">
          <reference field="4294967294" count="1" selected="0">
            <x v="3"/>
          </reference>
        </references>
      </pivotArea>
    </format>
    <format dxfId="1923">
      <pivotArea field="0" dataOnly="0" labelOnly="1" grandRow="1" outline="0" axis="axisRow" fieldPosition="0">
        <references count="1">
          <reference field="4294967294" count="1" selected="0">
            <x v="4"/>
          </reference>
        </references>
      </pivotArea>
    </format>
    <format dxfId="1922">
      <pivotArea field="0" dataOnly="0" labelOnly="1" grandRow="1" outline="0" axis="axisRow" fieldPosition="0">
        <references count="1">
          <reference field="4294967294" count="1" selected="0">
            <x v="5"/>
          </reference>
        </references>
      </pivotArea>
    </format>
    <format dxfId="1921">
      <pivotArea field="0" dataOnly="0" labelOnly="1" grandRow="1" outline="0" axis="axisRow" fieldPosition="0">
        <references count="1">
          <reference field="4294967294" count="1" selected="0">
            <x v="6"/>
          </reference>
        </references>
      </pivotArea>
    </format>
    <format dxfId="1920">
      <pivotArea field="0" dataOnly="0" labelOnly="1" grandRow="1" outline="0" axis="axisRow" fieldPosition="0">
        <references count="1">
          <reference field="4294967294" count="1" selected="0">
            <x v="7"/>
          </reference>
        </references>
      </pivotArea>
    </format>
    <format dxfId="1919">
      <pivotArea field="0" dataOnly="0" labelOnly="1" grandRow="1" outline="0" axis="axisRow" fieldPosition="0">
        <references count="1">
          <reference field="4294967294" count="1" selected="0">
            <x v="8"/>
          </reference>
        </references>
      </pivotArea>
    </format>
    <format dxfId="1918">
      <pivotArea field="0" dataOnly="0" labelOnly="1" grandRow="1" outline="0" axis="axisRow" fieldPosition="0">
        <references count="1">
          <reference field="4294967294" count="1" selected="0">
            <x v="9"/>
          </reference>
        </references>
      </pivotArea>
    </format>
    <format dxfId="1917">
      <pivotArea field="0" dataOnly="0" labelOnly="1" grandRow="1" outline="0" axis="axisRow" fieldPosition="0">
        <references count="1">
          <reference field="4294967294" count="1" selected="0">
            <x v="10"/>
          </reference>
        </references>
      </pivotArea>
    </format>
    <format dxfId="1916">
      <pivotArea field="0" dataOnly="0" labelOnly="1" grandRow="1" outline="0" axis="axisRow" fieldPosition="0">
        <references count="1">
          <reference field="4294967294" count="1" selected="0">
            <x v="11"/>
          </reference>
        </references>
      </pivotArea>
    </format>
    <format dxfId="1915">
      <pivotArea field="0" dataOnly="0" labelOnly="1" grandRow="1" outline="0" axis="axisRow" fieldPosition="0">
        <references count="1">
          <reference field="4294967294" count="1" selected="0">
            <x v="12"/>
          </reference>
        </references>
      </pivotArea>
    </format>
    <format dxfId="1914">
      <pivotArea field="0" dataOnly="0" labelOnly="1" grandRow="1" outline="0" axis="axisRow" fieldPosition="0">
        <references count="1">
          <reference field="4294967294" count="1" selected="0">
            <x v="13"/>
          </reference>
        </references>
      </pivotArea>
    </format>
    <format dxfId="1913">
      <pivotArea field="0" dataOnly="0" labelOnly="1" grandRow="1" outline="0" axis="axisRow" fieldPosition="0">
        <references count="1">
          <reference field="4294967294" count="1" selected="0">
            <x v="14"/>
          </reference>
        </references>
      </pivotArea>
    </format>
    <format dxfId="1912">
      <pivotArea field="0" dataOnly="0" labelOnly="1" grandRow="1" outline="0" axis="axisRow" fieldPosition="0">
        <references count="1">
          <reference field="4294967294" count="1" selected="0">
            <x v="15"/>
          </reference>
        </references>
      </pivotArea>
    </format>
    <format dxfId="1911">
      <pivotArea field="0" dataOnly="0" labelOnly="1" grandRow="1" outline="0" axis="axisRow" fieldPosition="0">
        <references count="1">
          <reference field="4294967294" count="1" selected="0">
            <x v="16"/>
          </reference>
        </references>
      </pivotArea>
    </format>
    <format dxfId="1910">
      <pivotArea field="0" dataOnly="0" labelOnly="1" grandRow="1" outline="0" axis="axisRow" fieldPosition="0">
        <references count="1">
          <reference field="4294967294" count="1" selected="0">
            <x v="17"/>
          </reference>
        </references>
      </pivotArea>
    </format>
    <format dxfId="1909">
      <pivotArea field="0" dataOnly="0" labelOnly="1" grandRow="1" outline="0" axis="axisRow" fieldPosition="0">
        <references count="1">
          <reference field="4294967294" count="1" selected="0">
            <x v="18"/>
          </reference>
        </references>
      </pivotArea>
    </format>
    <format dxfId="1908">
      <pivotArea field="0" dataOnly="0" labelOnly="1" grandRow="1" outline="0" axis="axisRow" fieldPosition="0">
        <references count="1">
          <reference field="4294967294" count="1" selected="0">
            <x v="19"/>
          </reference>
        </references>
      </pivotArea>
    </format>
    <format dxfId="1907">
      <pivotArea field="0" dataOnly="0" labelOnly="1" grandRow="1" outline="0" axis="axisRow" fieldPosition="0">
        <references count="1">
          <reference field="4294967294" count="1" selected="0">
            <x v="20"/>
          </reference>
        </references>
      </pivotArea>
    </format>
    <format dxfId="1906">
      <pivotArea field="0" dataOnly="0" labelOnly="1" grandRow="1" outline="0" axis="axisRow" fieldPosition="0">
        <references count="1">
          <reference field="4294967294" count="1" selected="0">
            <x v="21"/>
          </reference>
        </references>
      </pivotArea>
    </format>
    <format dxfId="1905">
      <pivotArea field="0" dataOnly="0" labelOnly="1" grandRow="1" outline="0" axis="axisRow" fieldPosition="0">
        <references count="1">
          <reference field="4294967294" count="1" selected="0">
            <x v="22"/>
          </reference>
        </references>
      </pivotArea>
    </format>
    <format dxfId="1904">
      <pivotArea field="0" dataOnly="0" labelOnly="1" grandRow="1" outline="0" axis="axisRow" fieldPosition="0">
        <references count="1">
          <reference field="4294967294" count="1" selected="0">
            <x v="23"/>
          </reference>
        </references>
      </pivotArea>
    </format>
    <format dxfId="1903">
      <pivotArea field="0" dataOnly="0" labelOnly="1" grandRow="1" outline="0" axis="axisRow" fieldPosition="0">
        <references count="1">
          <reference field="4294967294" count="1" selected="0">
            <x v="24"/>
          </reference>
        </references>
      </pivotArea>
    </format>
    <format dxfId="1902">
      <pivotArea field="0" dataOnly="0" labelOnly="1" grandRow="1" outline="0" axis="axisRow" fieldPosition="0">
        <references count="1">
          <reference field="4294967294" count="1" selected="0">
            <x v="25"/>
          </reference>
        </references>
      </pivotArea>
    </format>
    <format dxfId="1901">
      <pivotArea field="0" dataOnly="0" labelOnly="1" grandRow="1" outline="0" axis="axisRow" fieldPosition="0">
        <references count="1">
          <reference field="4294967294" count="1" selected="0">
            <x v="26"/>
          </reference>
        </references>
      </pivotArea>
    </format>
    <format dxfId="1900">
      <pivotArea field="0" dataOnly="0" labelOnly="1" grandRow="1" outline="0" axis="axisRow" fieldPosition="0">
        <references count="1">
          <reference field="4294967294" count="1" selected="0">
            <x v="27"/>
          </reference>
        </references>
      </pivotArea>
    </format>
    <format dxfId="1899">
      <pivotArea field="0" dataOnly="0" labelOnly="1" grandRow="1" outline="0" axis="axisRow" fieldPosition="0">
        <references count="1">
          <reference field="4294967294" count="1" selected="0">
            <x v="28"/>
          </reference>
        </references>
      </pivotArea>
    </format>
    <format dxfId="1898">
      <pivotArea field="0" dataOnly="0" labelOnly="1" grandRow="1" outline="0" axis="axisRow" fieldPosition="0">
        <references count="1">
          <reference field="4294967294" count="1" selected="0">
            <x v="29"/>
          </reference>
        </references>
      </pivotArea>
    </format>
    <format dxfId="1897">
      <pivotArea field="0" dataOnly="0" labelOnly="1" grandRow="1" outline="0" axis="axisRow" fieldPosition="0">
        <references count="1">
          <reference field="4294967294" count="1" selected="0">
            <x v="30"/>
          </reference>
        </references>
      </pivotArea>
    </format>
    <format dxfId="1896">
      <pivotArea field="0" dataOnly="0" labelOnly="1" grandRow="1" outline="0" axis="axisRow" fieldPosition="0">
        <references count="1">
          <reference field="4294967294" count="1" selected="0">
            <x v="31"/>
          </reference>
        </references>
      </pivotArea>
    </format>
    <format dxfId="1895">
      <pivotArea field="0" dataOnly="0" labelOnly="1" grandRow="1" outline="0" axis="axisRow" fieldPosition="0">
        <references count="1">
          <reference field="4294967294" count="1" selected="0">
            <x v="32"/>
          </reference>
        </references>
      </pivotArea>
    </format>
    <format dxfId="1894">
      <pivotArea field="0" dataOnly="0" labelOnly="1" grandRow="1" outline="0" axis="axisRow" fieldPosition="0">
        <references count="1">
          <reference field="4294967294" count="1" selected="0">
            <x v="33"/>
          </reference>
        </references>
      </pivotArea>
    </format>
    <format dxfId="1893">
      <pivotArea field="0" dataOnly="0" labelOnly="1" grandRow="1" outline="0" axis="axisRow" fieldPosition="0">
        <references count="1">
          <reference field="4294967294" count="1" selected="0">
            <x v="34"/>
          </reference>
        </references>
      </pivotArea>
    </format>
    <format dxfId="1892">
      <pivotArea field="0" dataOnly="0" labelOnly="1" grandRow="1" outline="0" axis="axisRow" fieldPosition="0">
        <references count="1">
          <reference field="4294967294" count="1" selected="0">
            <x v="35"/>
          </reference>
        </references>
      </pivotArea>
    </format>
    <format dxfId="1891">
      <pivotArea field="0" dataOnly="0" labelOnly="1" grandRow="1" outline="0" axis="axisRow" fieldPosition="0">
        <references count="1">
          <reference field="4294967294" count="1" selected="0">
            <x v="0"/>
          </reference>
        </references>
      </pivotArea>
    </format>
    <format dxfId="1890">
      <pivotArea field="0" dataOnly="0" labelOnly="1" grandRow="1" outline="0" axis="axisRow" fieldPosition="0">
        <references count="1">
          <reference field="4294967294" count="1" selected="0">
            <x v="1"/>
          </reference>
        </references>
      </pivotArea>
    </format>
    <format dxfId="1889">
      <pivotArea field="0" dataOnly="0" labelOnly="1" grandRow="1" outline="0" axis="axisRow" fieldPosition="0">
        <references count="1">
          <reference field="4294967294" count="1" selected="0">
            <x v="2"/>
          </reference>
        </references>
      </pivotArea>
    </format>
    <format dxfId="1888">
      <pivotArea field="0" dataOnly="0" labelOnly="1" grandRow="1" outline="0" axis="axisRow" fieldPosition="0">
        <references count="1">
          <reference field="4294967294" count="1" selected="0">
            <x v="3"/>
          </reference>
        </references>
      </pivotArea>
    </format>
    <format dxfId="1887">
      <pivotArea field="0" dataOnly="0" labelOnly="1" grandRow="1" outline="0" axis="axisRow" fieldPosition="0">
        <references count="1">
          <reference field="4294967294" count="1" selected="0">
            <x v="4"/>
          </reference>
        </references>
      </pivotArea>
    </format>
    <format dxfId="1886">
      <pivotArea field="0" dataOnly="0" labelOnly="1" grandRow="1" outline="0" axis="axisRow" fieldPosition="0">
        <references count="1">
          <reference field="4294967294" count="1" selected="0">
            <x v="5"/>
          </reference>
        </references>
      </pivotArea>
    </format>
    <format dxfId="1885">
      <pivotArea field="0" dataOnly="0" labelOnly="1" grandRow="1" outline="0" axis="axisRow" fieldPosition="0">
        <references count="1">
          <reference field="4294967294" count="1" selected="0">
            <x v="6"/>
          </reference>
        </references>
      </pivotArea>
    </format>
    <format dxfId="1884">
      <pivotArea field="0" dataOnly="0" labelOnly="1" grandRow="1" outline="0" axis="axisRow" fieldPosition="0">
        <references count="1">
          <reference field="4294967294" count="1" selected="0">
            <x v="7"/>
          </reference>
        </references>
      </pivotArea>
    </format>
    <format dxfId="1883">
      <pivotArea field="0" dataOnly="0" labelOnly="1" grandRow="1" outline="0" axis="axisRow" fieldPosition="0">
        <references count="1">
          <reference field="4294967294" count="1" selected="0">
            <x v="8"/>
          </reference>
        </references>
      </pivotArea>
    </format>
    <format dxfId="1882">
      <pivotArea field="0" dataOnly="0" labelOnly="1" grandRow="1" outline="0" axis="axisRow" fieldPosition="0">
        <references count="1">
          <reference field="4294967294" count="1" selected="0">
            <x v="9"/>
          </reference>
        </references>
      </pivotArea>
    </format>
    <format dxfId="1881">
      <pivotArea field="0" dataOnly="0" labelOnly="1" grandRow="1" outline="0" axis="axisRow" fieldPosition="0">
        <references count="1">
          <reference field="4294967294" count="1" selected="0">
            <x v="10"/>
          </reference>
        </references>
      </pivotArea>
    </format>
    <format dxfId="1880">
      <pivotArea field="0" dataOnly="0" labelOnly="1" grandRow="1" outline="0" axis="axisRow" fieldPosition="0">
        <references count="1">
          <reference field="4294967294" count="1" selected="0">
            <x v="11"/>
          </reference>
        </references>
      </pivotArea>
    </format>
    <format dxfId="1879">
      <pivotArea field="0" dataOnly="0" labelOnly="1" grandRow="1" outline="0" axis="axisRow" fieldPosition="0">
        <references count="1">
          <reference field="4294967294" count="1" selected="0">
            <x v="12"/>
          </reference>
        </references>
      </pivotArea>
    </format>
    <format dxfId="1878">
      <pivotArea field="0" dataOnly="0" labelOnly="1" grandRow="1" outline="0" axis="axisRow" fieldPosition="0">
        <references count="1">
          <reference field="4294967294" count="1" selected="0">
            <x v="13"/>
          </reference>
        </references>
      </pivotArea>
    </format>
    <format dxfId="1877">
      <pivotArea field="0" dataOnly="0" labelOnly="1" grandRow="1" outline="0" axis="axisRow" fieldPosition="0">
        <references count="1">
          <reference field="4294967294" count="1" selected="0">
            <x v="14"/>
          </reference>
        </references>
      </pivotArea>
    </format>
    <format dxfId="1876">
      <pivotArea field="0" dataOnly="0" labelOnly="1" grandRow="1" outline="0" axis="axisRow" fieldPosition="0">
        <references count="1">
          <reference field="4294967294" count="1" selected="0">
            <x v="15"/>
          </reference>
        </references>
      </pivotArea>
    </format>
    <format dxfId="1875">
      <pivotArea field="0" dataOnly="0" labelOnly="1" grandRow="1" outline="0" axis="axisRow" fieldPosition="0">
        <references count="1">
          <reference field="4294967294" count="1" selected="0">
            <x v="16"/>
          </reference>
        </references>
      </pivotArea>
    </format>
    <format dxfId="1874">
      <pivotArea field="0" dataOnly="0" labelOnly="1" grandRow="1" outline="0" axis="axisRow" fieldPosition="0">
        <references count="1">
          <reference field="4294967294" count="1" selected="0">
            <x v="17"/>
          </reference>
        </references>
      </pivotArea>
    </format>
    <format dxfId="1873">
      <pivotArea field="0" dataOnly="0" labelOnly="1" grandRow="1" outline="0" axis="axisRow" fieldPosition="0">
        <references count="1">
          <reference field="4294967294" count="1" selected="0">
            <x v="18"/>
          </reference>
        </references>
      </pivotArea>
    </format>
    <format dxfId="1872">
      <pivotArea field="0" dataOnly="0" labelOnly="1" grandRow="1" outline="0" axis="axisRow" fieldPosition="0">
        <references count="1">
          <reference field="4294967294" count="1" selected="0">
            <x v="19"/>
          </reference>
        </references>
      </pivotArea>
    </format>
    <format dxfId="1871">
      <pivotArea field="0" dataOnly="0" labelOnly="1" grandRow="1" outline="0" axis="axisRow" fieldPosition="0">
        <references count="1">
          <reference field="4294967294" count="1" selected="0">
            <x v="20"/>
          </reference>
        </references>
      </pivotArea>
    </format>
    <format dxfId="1870">
      <pivotArea field="0" dataOnly="0" labelOnly="1" grandRow="1" outline="0" axis="axisRow" fieldPosition="0">
        <references count="1">
          <reference field="4294967294" count="1" selected="0">
            <x v="21"/>
          </reference>
        </references>
      </pivotArea>
    </format>
    <format dxfId="1869">
      <pivotArea field="0" dataOnly="0" labelOnly="1" grandRow="1" outline="0" axis="axisRow" fieldPosition="0">
        <references count="1">
          <reference field="4294967294" count="1" selected="0">
            <x v="22"/>
          </reference>
        </references>
      </pivotArea>
    </format>
    <format dxfId="1868">
      <pivotArea field="0" dataOnly="0" labelOnly="1" grandRow="1" outline="0" axis="axisRow" fieldPosition="0">
        <references count="1">
          <reference field="4294967294" count="1" selected="0">
            <x v="23"/>
          </reference>
        </references>
      </pivotArea>
    </format>
    <format dxfId="1867">
      <pivotArea field="0" dataOnly="0" labelOnly="1" grandRow="1" outline="0" axis="axisRow" fieldPosition="0">
        <references count="1">
          <reference field="4294967294" count="1" selected="0">
            <x v="24"/>
          </reference>
        </references>
      </pivotArea>
    </format>
    <format dxfId="1866">
      <pivotArea field="0" dataOnly="0" labelOnly="1" grandRow="1" outline="0" axis="axisRow" fieldPosition="0">
        <references count="1">
          <reference field="4294967294" count="1" selected="0">
            <x v="25"/>
          </reference>
        </references>
      </pivotArea>
    </format>
    <format dxfId="1865">
      <pivotArea field="0" dataOnly="0" labelOnly="1" grandRow="1" outline="0" axis="axisRow" fieldPosition="0">
        <references count="1">
          <reference field="4294967294" count="1" selected="0">
            <x v="26"/>
          </reference>
        </references>
      </pivotArea>
    </format>
    <format dxfId="1864">
      <pivotArea field="0" dataOnly="0" labelOnly="1" grandRow="1" outline="0" axis="axisRow" fieldPosition="0">
        <references count="1">
          <reference field="4294967294" count="1" selected="0">
            <x v="27"/>
          </reference>
        </references>
      </pivotArea>
    </format>
    <format dxfId="1863">
      <pivotArea field="0" dataOnly="0" labelOnly="1" grandRow="1" outline="0" axis="axisRow" fieldPosition="0">
        <references count="1">
          <reference field="4294967294" count="1" selected="0">
            <x v="28"/>
          </reference>
        </references>
      </pivotArea>
    </format>
    <format dxfId="1862">
      <pivotArea field="0" dataOnly="0" labelOnly="1" grandRow="1" outline="0" axis="axisRow" fieldPosition="0">
        <references count="1">
          <reference field="4294967294" count="1" selected="0">
            <x v="29"/>
          </reference>
        </references>
      </pivotArea>
    </format>
    <format dxfId="1861">
      <pivotArea field="0" dataOnly="0" labelOnly="1" grandRow="1" outline="0" axis="axisRow" fieldPosition="0">
        <references count="1">
          <reference field="4294967294" count="1" selected="0">
            <x v="30"/>
          </reference>
        </references>
      </pivotArea>
    </format>
    <format dxfId="1860">
      <pivotArea field="0" dataOnly="0" labelOnly="1" grandRow="1" outline="0" axis="axisRow" fieldPosition="0">
        <references count="1">
          <reference field="4294967294" count="1" selected="0">
            <x v="31"/>
          </reference>
        </references>
      </pivotArea>
    </format>
    <format dxfId="1859">
      <pivotArea field="0" dataOnly="0" labelOnly="1" grandRow="1" outline="0" axis="axisRow" fieldPosition="0">
        <references count="1">
          <reference field="4294967294" count="1" selected="0">
            <x v="32"/>
          </reference>
        </references>
      </pivotArea>
    </format>
    <format dxfId="1858">
      <pivotArea field="0" dataOnly="0" labelOnly="1" grandRow="1" outline="0" axis="axisRow" fieldPosition="0">
        <references count="1">
          <reference field="4294967294" count="1" selected="0">
            <x v="33"/>
          </reference>
        </references>
      </pivotArea>
    </format>
    <format dxfId="1857">
      <pivotArea field="0" dataOnly="0" labelOnly="1" grandRow="1" outline="0" axis="axisRow" fieldPosition="0">
        <references count="1">
          <reference field="4294967294" count="1" selected="0">
            <x v="34"/>
          </reference>
        </references>
      </pivotArea>
    </format>
    <format dxfId="1856">
      <pivotArea field="0" dataOnly="0" labelOnly="1" grandRow="1" outline="0" axis="axisRow" fieldPosition="0">
        <references count="1">
          <reference field="4294967294" count="1" selected="0">
            <x v="35"/>
          </reference>
        </references>
      </pivotArea>
    </format>
    <format dxfId="1855">
      <pivotArea field="0" dataOnly="0" labelOnly="1" grandRow="1" outline="0" axis="axisRow" fieldPosition="0">
        <references count="1">
          <reference field="4294967294" count="1" selected="0">
            <x v="0"/>
          </reference>
        </references>
      </pivotArea>
    </format>
    <format dxfId="1854">
      <pivotArea field="0" dataOnly="0" labelOnly="1" grandRow="1" outline="0" axis="axisRow" fieldPosition="0">
        <references count="1">
          <reference field="4294967294" count="1" selected="0">
            <x v="1"/>
          </reference>
        </references>
      </pivotArea>
    </format>
    <format dxfId="1853">
      <pivotArea field="0" dataOnly="0" labelOnly="1" grandRow="1" outline="0" axis="axisRow" fieldPosition="0">
        <references count="1">
          <reference field="4294967294" count="1" selected="0">
            <x v="2"/>
          </reference>
        </references>
      </pivotArea>
    </format>
    <format dxfId="1852">
      <pivotArea field="0" dataOnly="0" labelOnly="1" grandRow="1" outline="0" axis="axisRow" fieldPosition="0">
        <references count="1">
          <reference field="4294967294" count="1" selected="0">
            <x v="3"/>
          </reference>
        </references>
      </pivotArea>
    </format>
    <format dxfId="1851">
      <pivotArea field="0" dataOnly="0" labelOnly="1" grandRow="1" outline="0" axis="axisRow" fieldPosition="0">
        <references count="1">
          <reference field="4294967294" count="1" selected="0">
            <x v="4"/>
          </reference>
        </references>
      </pivotArea>
    </format>
    <format dxfId="1850">
      <pivotArea field="0" dataOnly="0" labelOnly="1" grandRow="1" outline="0" axis="axisRow" fieldPosition="0">
        <references count="1">
          <reference field="4294967294" count="1" selected="0">
            <x v="5"/>
          </reference>
        </references>
      </pivotArea>
    </format>
    <format dxfId="1849">
      <pivotArea field="0" dataOnly="0" labelOnly="1" grandRow="1" outline="0" axis="axisRow" fieldPosition="0">
        <references count="1">
          <reference field="4294967294" count="1" selected="0">
            <x v="6"/>
          </reference>
        </references>
      </pivotArea>
    </format>
    <format dxfId="1848">
      <pivotArea field="0" dataOnly="0" labelOnly="1" grandRow="1" outline="0" axis="axisRow" fieldPosition="0">
        <references count="1">
          <reference field="4294967294" count="1" selected="0">
            <x v="7"/>
          </reference>
        </references>
      </pivotArea>
    </format>
    <format dxfId="1847">
      <pivotArea field="0" dataOnly="0" labelOnly="1" grandRow="1" outline="0" axis="axisRow" fieldPosition="0">
        <references count="1">
          <reference field="4294967294" count="1" selected="0">
            <x v="8"/>
          </reference>
        </references>
      </pivotArea>
    </format>
    <format dxfId="1846">
      <pivotArea field="0" dataOnly="0" labelOnly="1" grandRow="1" outline="0" axis="axisRow" fieldPosition="0">
        <references count="1">
          <reference field="4294967294" count="1" selected="0">
            <x v="9"/>
          </reference>
        </references>
      </pivotArea>
    </format>
    <format dxfId="1845">
      <pivotArea field="0" dataOnly="0" labelOnly="1" grandRow="1" outline="0" axis="axisRow" fieldPosition="0">
        <references count="1">
          <reference field="4294967294" count="1" selected="0">
            <x v="10"/>
          </reference>
        </references>
      </pivotArea>
    </format>
    <format dxfId="1844">
      <pivotArea field="0" dataOnly="0" labelOnly="1" grandRow="1" outline="0" axis="axisRow" fieldPosition="0">
        <references count="1">
          <reference field="4294967294" count="1" selected="0">
            <x v="11"/>
          </reference>
        </references>
      </pivotArea>
    </format>
    <format dxfId="1843">
      <pivotArea field="0" dataOnly="0" labelOnly="1" grandRow="1" outline="0" axis="axisRow" fieldPosition="0">
        <references count="1">
          <reference field="4294967294" count="1" selected="0">
            <x v="12"/>
          </reference>
        </references>
      </pivotArea>
    </format>
    <format dxfId="1842">
      <pivotArea field="0" dataOnly="0" labelOnly="1" grandRow="1" outline="0" axis="axisRow" fieldPosition="0">
        <references count="1">
          <reference field="4294967294" count="1" selected="0">
            <x v="13"/>
          </reference>
        </references>
      </pivotArea>
    </format>
    <format dxfId="1841">
      <pivotArea field="0" dataOnly="0" labelOnly="1" grandRow="1" outline="0" axis="axisRow" fieldPosition="0">
        <references count="1">
          <reference field="4294967294" count="1" selected="0">
            <x v="14"/>
          </reference>
        </references>
      </pivotArea>
    </format>
    <format dxfId="1840">
      <pivotArea field="0" dataOnly="0" labelOnly="1" grandRow="1" outline="0" axis="axisRow" fieldPosition="0">
        <references count="1">
          <reference field="4294967294" count="1" selected="0">
            <x v="15"/>
          </reference>
        </references>
      </pivotArea>
    </format>
    <format dxfId="1839">
      <pivotArea field="0" dataOnly="0" labelOnly="1" grandRow="1" outline="0" axis="axisRow" fieldPosition="0">
        <references count="1">
          <reference field="4294967294" count="1" selected="0">
            <x v="16"/>
          </reference>
        </references>
      </pivotArea>
    </format>
    <format dxfId="1838">
      <pivotArea field="0" dataOnly="0" labelOnly="1" grandRow="1" outline="0" axis="axisRow" fieldPosition="0">
        <references count="1">
          <reference field="4294967294" count="1" selected="0">
            <x v="17"/>
          </reference>
        </references>
      </pivotArea>
    </format>
    <format dxfId="1837">
      <pivotArea field="0" dataOnly="0" labelOnly="1" grandRow="1" outline="0" axis="axisRow" fieldPosition="0">
        <references count="1">
          <reference field="4294967294" count="1" selected="0">
            <x v="18"/>
          </reference>
        </references>
      </pivotArea>
    </format>
    <format dxfId="1836">
      <pivotArea field="0" dataOnly="0" labelOnly="1" grandRow="1" outline="0" axis="axisRow" fieldPosition="0">
        <references count="1">
          <reference field="4294967294" count="1" selected="0">
            <x v="19"/>
          </reference>
        </references>
      </pivotArea>
    </format>
    <format dxfId="1835">
      <pivotArea field="0" dataOnly="0" labelOnly="1" grandRow="1" outline="0" axis="axisRow" fieldPosition="0">
        <references count="1">
          <reference field="4294967294" count="1" selected="0">
            <x v="20"/>
          </reference>
        </references>
      </pivotArea>
    </format>
    <format dxfId="1834">
      <pivotArea field="0" dataOnly="0" labelOnly="1" grandRow="1" outline="0" axis="axisRow" fieldPosition="0">
        <references count="1">
          <reference field="4294967294" count="1" selected="0">
            <x v="21"/>
          </reference>
        </references>
      </pivotArea>
    </format>
    <format dxfId="1833">
      <pivotArea field="0" dataOnly="0" labelOnly="1" grandRow="1" outline="0" axis="axisRow" fieldPosition="0">
        <references count="1">
          <reference field="4294967294" count="1" selected="0">
            <x v="22"/>
          </reference>
        </references>
      </pivotArea>
    </format>
    <format dxfId="1832">
      <pivotArea field="0" dataOnly="0" labelOnly="1" grandRow="1" outline="0" axis="axisRow" fieldPosition="0">
        <references count="1">
          <reference field="4294967294" count="1" selected="0">
            <x v="23"/>
          </reference>
        </references>
      </pivotArea>
    </format>
    <format dxfId="1831">
      <pivotArea field="0" dataOnly="0" labelOnly="1" grandRow="1" outline="0" axis="axisRow" fieldPosition="0">
        <references count="1">
          <reference field="4294967294" count="1" selected="0">
            <x v="24"/>
          </reference>
        </references>
      </pivotArea>
    </format>
    <format dxfId="1830">
      <pivotArea field="0" dataOnly="0" labelOnly="1" grandRow="1" outline="0" axis="axisRow" fieldPosition="0">
        <references count="1">
          <reference field="4294967294" count="1" selected="0">
            <x v="25"/>
          </reference>
        </references>
      </pivotArea>
    </format>
    <format dxfId="1829">
      <pivotArea field="0" dataOnly="0" labelOnly="1" grandRow="1" outline="0" axis="axisRow" fieldPosition="0">
        <references count="1">
          <reference field="4294967294" count="1" selected="0">
            <x v="26"/>
          </reference>
        </references>
      </pivotArea>
    </format>
    <format dxfId="1828">
      <pivotArea field="0" dataOnly="0" labelOnly="1" grandRow="1" outline="0" axis="axisRow" fieldPosition="0">
        <references count="1">
          <reference field="4294967294" count="1" selected="0">
            <x v="27"/>
          </reference>
        </references>
      </pivotArea>
    </format>
    <format dxfId="1827">
      <pivotArea field="0" dataOnly="0" labelOnly="1" grandRow="1" outline="0" axis="axisRow" fieldPosition="0">
        <references count="1">
          <reference field="4294967294" count="1" selected="0">
            <x v="28"/>
          </reference>
        </references>
      </pivotArea>
    </format>
    <format dxfId="1826">
      <pivotArea field="0" dataOnly="0" labelOnly="1" grandRow="1" outline="0" axis="axisRow" fieldPosition="0">
        <references count="1">
          <reference field="4294967294" count="1" selected="0">
            <x v="29"/>
          </reference>
        </references>
      </pivotArea>
    </format>
    <format dxfId="1825">
      <pivotArea field="0" dataOnly="0" labelOnly="1" grandRow="1" outline="0" axis="axisRow" fieldPosition="0">
        <references count="1">
          <reference field="4294967294" count="1" selected="0">
            <x v="30"/>
          </reference>
        </references>
      </pivotArea>
    </format>
    <format dxfId="1824">
      <pivotArea field="0" dataOnly="0" labelOnly="1" grandRow="1" outline="0" axis="axisRow" fieldPosition="0">
        <references count="1">
          <reference field="4294967294" count="1" selected="0">
            <x v="31"/>
          </reference>
        </references>
      </pivotArea>
    </format>
    <format dxfId="1823">
      <pivotArea field="0" dataOnly="0" labelOnly="1" grandRow="1" outline="0" axis="axisRow" fieldPosition="0">
        <references count="1">
          <reference field="4294967294" count="1" selected="0">
            <x v="32"/>
          </reference>
        </references>
      </pivotArea>
    </format>
    <format dxfId="1822">
      <pivotArea field="0" dataOnly="0" labelOnly="1" grandRow="1" outline="0" axis="axisRow" fieldPosition="0">
        <references count="1">
          <reference field="4294967294" count="1" selected="0">
            <x v="33"/>
          </reference>
        </references>
      </pivotArea>
    </format>
    <format dxfId="1821">
      <pivotArea field="0" dataOnly="0" labelOnly="1" grandRow="1" outline="0" axis="axisRow" fieldPosition="0">
        <references count="1">
          <reference field="4294967294" count="1" selected="0">
            <x v="34"/>
          </reference>
        </references>
      </pivotArea>
    </format>
    <format dxfId="1820">
      <pivotArea field="0" dataOnly="0" labelOnly="1" grandRow="1" outline="0" axis="axisRow" fieldPosition="0">
        <references count="1">
          <reference field="4294967294" count="1" selected="0">
            <x v="35"/>
          </reference>
        </references>
      </pivotArea>
    </format>
    <format dxfId="1819">
      <pivotArea field="0" dataOnly="0" labelOnly="1" grandRow="1" outline="0" axis="axisRow" fieldPosition="0">
        <references count="1">
          <reference field="4294967294" count="1" selected="0">
            <x v="0"/>
          </reference>
        </references>
      </pivotArea>
    </format>
    <format dxfId="1818">
      <pivotArea field="0" dataOnly="0" labelOnly="1" grandRow="1" outline="0" axis="axisRow" fieldPosition="0">
        <references count="1">
          <reference field="4294967294" count="1" selected="0">
            <x v="1"/>
          </reference>
        </references>
      </pivotArea>
    </format>
    <format dxfId="1817">
      <pivotArea field="0" dataOnly="0" labelOnly="1" grandRow="1" outline="0" axis="axisRow" fieldPosition="0">
        <references count="1">
          <reference field="4294967294" count="1" selected="0">
            <x v="2"/>
          </reference>
        </references>
      </pivotArea>
    </format>
    <format dxfId="1816">
      <pivotArea field="0" dataOnly="0" labelOnly="1" grandRow="1" outline="0" axis="axisRow" fieldPosition="0">
        <references count="1">
          <reference field="4294967294" count="1" selected="0">
            <x v="3"/>
          </reference>
        </references>
      </pivotArea>
    </format>
    <format dxfId="1815">
      <pivotArea field="0" dataOnly="0" labelOnly="1" grandRow="1" outline="0" axis="axisRow" fieldPosition="0">
        <references count="1">
          <reference field="4294967294" count="1" selected="0">
            <x v="4"/>
          </reference>
        </references>
      </pivotArea>
    </format>
    <format dxfId="1814">
      <pivotArea field="0" dataOnly="0" labelOnly="1" grandRow="1" outline="0" axis="axisRow" fieldPosition="0">
        <references count="1">
          <reference field="4294967294" count="1" selected="0">
            <x v="5"/>
          </reference>
        </references>
      </pivotArea>
    </format>
    <format dxfId="1813">
      <pivotArea field="0" dataOnly="0" labelOnly="1" grandRow="1" outline="0" axis="axisRow" fieldPosition="0">
        <references count="1">
          <reference field="4294967294" count="1" selected="0">
            <x v="6"/>
          </reference>
        </references>
      </pivotArea>
    </format>
    <format dxfId="1812">
      <pivotArea field="0" dataOnly="0" labelOnly="1" grandRow="1" outline="0" axis="axisRow" fieldPosition="0">
        <references count="1">
          <reference field="4294967294" count="1" selected="0">
            <x v="7"/>
          </reference>
        </references>
      </pivotArea>
    </format>
    <format dxfId="1811">
      <pivotArea field="0" dataOnly="0" labelOnly="1" grandRow="1" outline="0" axis="axisRow" fieldPosition="0">
        <references count="1">
          <reference field="4294967294" count="1" selected="0">
            <x v="8"/>
          </reference>
        </references>
      </pivotArea>
    </format>
    <format dxfId="1810">
      <pivotArea field="0" dataOnly="0" labelOnly="1" grandRow="1" outline="0" axis="axisRow" fieldPosition="0">
        <references count="1">
          <reference field="4294967294" count="1" selected="0">
            <x v="9"/>
          </reference>
        </references>
      </pivotArea>
    </format>
    <format dxfId="1809">
      <pivotArea field="0" dataOnly="0" labelOnly="1" grandRow="1" outline="0" axis="axisRow" fieldPosition="0">
        <references count="1">
          <reference field="4294967294" count="1" selected="0">
            <x v="10"/>
          </reference>
        </references>
      </pivotArea>
    </format>
    <format dxfId="1808">
      <pivotArea field="0" dataOnly="0" labelOnly="1" grandRow="1" outline="0" axis="axisRow" fieldPosition="0">
        <references count="1">
          <reference field="4294967294" count="1" selected="0">
            <x v="11"/>
          </reference>
        </references>
      </pivotArea>
    </format>
    <format dxfId="1807">
      <pivotArea field="0" dataOnly="0" labelOnly="1" grandRow="1" outline="0" axis="axisRow" fieldPosition="0">
        <references count="1">
          <reference field="4294967294" count="1" selected="0">
            <x v="12"/>
          </reference>
        </references>
      </pivotArea>
    </format>
    <format dxfId="1806">
      <pivotArea field="0" dataOnly="0" labelOnly="1" grandRow="1" outline="0" axis="axisRow" fieldPosition="0">
        <references count="1">
          <reference field="4294967294" count="1" selected="0">
            <x v="13"/>
          </reference>
        </references>
      </pivotArea>
    </format>
    <format dxfId="1805">
      <pivotArea field="0" dataOnly="0" labelOnly="1" grandRow="1" outline="0" axis="axisRow" fieldPosition="0">
        <references count="1">
          <reference field="4294967294" count="1" selected="0">
            <x v="14"/>
          </reference>
        </references>
      </pivotArea>
    </format>
    <format dxfId="1804">
      <pivotArea field="0" dataOnly="0" labelOnly="1" grandRow="1" outline="0" axis="axisRow" fieldPosition="0">
        <references count="1">
          <reference field="4294967294" count="1" selected="0">
            <x v="15"/>
          </reference>
        </references>
      </pivotArea>
    </format>
    <format dxfId="1803">
      <pivotArea field="0" dataOnly="0" labelOnly="1" grandRow="1" outline="0" axis="axisRow" fieldPosition="0">
        <references count="1">
          <reference field="4294967294" count="1" selected="0">
            <x v="16"/>
          </reference>
        </references>
      </pivotArea>
    </format>
    <format dxfId="1802">
      <pivotArea field="0" dataOnly="0" labelOnly="1" grandRow="1" outline="0" axis="axisRow" fieldPosition="0">
        <references count="1">
          <reference field="4294967294" count="1" selected="0">
            <x v="17"/>
          </reference>
        </references>
      </pivotArea>
    </format>
    <format dxfId="1801">
      <pivotArea field="0" dataOnly="0" labelOnly="1" grandRow="1" outline="0" axis="axisRow" fieldPosition="0">
        <references count="1">
          <reference field="4294967294" count="1" selected="0">
            <x v="18"/>
          </reference>
        </references>
      </pivotArea>
    </format>
    <format dxfId="1800">
      <pivotArea field="0" dataOnly="0" labelOnly="1" grandRow="1" outline="0" axis="axisRow" fieldPosition="0">
        <references count="1">
          <reference field="4294967294" count="1" selected="0">
            <x v="19"/>
          </reference>
        </references>
      </pivotArea>
    </format>
    <format dxfId="1799">
      <pivotArea field="0" dataOnly="0" labelOnly="1" grandRow="1" outline="0" axis="axisRow" fieldPosition="0">
        <references count="1">
          <reference field="4294967294" count="1" selected="0">
            <x v="20"/>
          </reference>
        </references>
      </pivotArea>
    </format>
    <format dxfId="1798">
      <pivotArea field="0" dataOnly="0" labelOnly="1" grandRow="1" outline="0" axis="axisRow" fieldPosition="0">
        <references count="1">
          <reference field="4294967294" count="1" selected="0">
            <x v="21"/>
          </reference>
        </references>
      </pivotArea>
    </format>
    <format dxfId="1797">
      <pivotArea field="0" dataOnly="0" labelOnly="1" grandRow="1" outline="0" axis="axisRow" fieldPosition="0">
        <references count="1">
          <reference field="4294967294" count="1" selected="0">
            <x v="22"/>
          </reference>
        </references>
      </pivotArea>
    </format>
    <format dxfId="1796">
      <pivotArea field="0" dataOnly="0" labelOnly="1" grandRow="1" outline="0" axis="axisRow" fieldPosition="0">
        <references count="1">
          <reference field="4294967294" count="1" selected="0">
            <x v="23"/>
          </reference>
        </references>
      </pivotArea>
    </format>
    <format dxfId="1795">
      <pivotArea field="0" dataOnly="0" labelOnly="1" grandRow="1" outline="0" axis="axisRow" fieldPosition="0">
        <references count="1">
          <reference field="4294967294" count="1" selected="0">
            <x v="24"/>
          </reference>
        </references>
      </pivotArea>
    </format>
    <format dxfId="1794">
      <pivotArea field="0" dataOnly="0" labelOnly="1" grandRow="1" outline="0" axis="axisRow" fieldPosition="0">
        <references count="1">
          <reference field="4294967294" count="1" selected="0">
            <x v="25"/>
          </reference>
        </references>
      </pivotArea>
    </format>
    <format dxfId="1793">
      <pivotArea field="0" dataOnly="0" labelOnly="1" grandRow="1" outline="0" axis="axisRow" fieldPosition="0">
        <references count="1">
          <reference field="4294967294" count="1" selected="0">
            <x v="26"/>
          </reference>
        </references>
      </pivotArea>
    </format>
    <format dxfId="1792">
      <pivotArea field="0" dataOnly="0" labelOnly="1" grandRow="1" outline="0" axis="axisRow" fieldPosition="0">
        <references count="1">
          <reference field="4294967294" count="1" selected="0">
            <x v="27"/>
          </reference>
        </references>
      </pivotArea>
    </format>
    <format dxfId="1791">
      <pivotArea field="0" dataOnly="0" labelOnly="1" grandRow="1" outline="0" axis="axisRow" fieldPosition="0">
        <references count="1">
          <reference field="4294967294" count="1" selected="0">
            <x v="28"/>
          </reference>
        </references>
      </pivotArea>
    </format>
    <format dxfId="1790">
      <pivotArea field="0" dataOnly="0" labelOnly="1" grandRow="1" outline="0" axis="axisRow" fieldPosition="0">
        <references count="1">
          <reference field="4294967294" count="1" selected="0">
            <x v="29"/>
          </reference>
        </references>
      </pivotArea>
    </format>
    <format dxfId="1789">
      <pivotArea field="0" dataOnly="0" labelOnly="1" grandRow="1" outline="0" axis="axisRow" fieldPosition="0">
        <references count="1">
          <reference field="4294967294" count="1" selected="0">
            <x v="30"/>
          </reference>
        </references>
      </pivotArea>
    </format>
    <format dxfId="1788">
      <pivotArea field="0" dataOnly="0" labelOnly="1" grandRow="1" outline="0" axis="axisRow" fieldPosition="0">
        <references count="1">
          <reference field="4294967294" count="1" selected="0">
            <x v="31"/>
          </reference>
        </references>
      </pivotArea>
    </format>
    <format dxfId="1787">
      <pivotArea field="0" dataOnly="0" labelOnly="1" grandRow="1" outline="0" axis="axisRow" fieldPosition="0">
        <references count="1">
          <reference field="4294967294" count="1" selected="0">
            <x v="32"/>
          </reference>
        </references>
      </pivotArea>
    </format>
    <format dxfId="1786">
      <pivotArea field="0" dataOnly="0" labelOnly="1" grandRow="1" outline="0" axis="axisRow" fieldPosition="0">
        <references count="1">
          <reference field="4294967294" count="1" selected="0">
            <x v="33"/>
          </reference>
        </references>
      </pivotArea>
    </format>
    <format dxfId="1785">
      <pivotArea field="0" dataOnly="0" labelOnly="1" grandRow="1" outline="0" axis="axisRow" fieldPosition="0">
        <references count="1">
          <reference field="4294967294" count="1" selected="0">
            <x v="34"/>
          </reference>
        </references>
      </pivotArea>
    </format>
    <format dxfId="1784">
      <pivotArea field="0" dataOnly="0" labelOnly="1" grandRow="1" outline="0" axis="axisRow" fieldPosition="0">
        <references count="1">
          <reference field="4294967294" count="1" selected="0">
            <x v="35"/>
          </reference>
        </references>
      </pivotArea>
    </format>
    <format dxfId="1783">
      <pivotArea field="0" dataOnly="0" labelOnly="1" grandRow="1" outline="0" axis="axisRow" fieldPosition="0">
        <references count="1">
          <reference field="4294967294" count="1" selected="0">
            <x v="0"/>
          </reference>
        </references>
      </pivotArea>
    </format>
    <format dxfId="1782">
      <pivotArea field="0" dataOnly="0" labelOnly="1" grandRow="1" outline="0" axis="axisRow" fieldPosition="0">
        <references count="1">
          <reference field="4294967294" count="1" selected="0">
            <x v="1"/>
          </reference>
        </references>
      </pivotArea>
    </format>
    <format dxfId="1781">
      <pivotArea field="0" dataOnly="0" labelOnly="1" grandRow="1" outline="0" axis="axisRow" fieldPosition="0">
        <references count="1">
          <reference field="4294967294" count="1" selected="0">
            <x v="2"/>
          </reference>
        </references>
      </pivotArea>
    </format>
    <format dxfId="1780">
      <pivotArea field="0" dataOnly="0" labelOnly="1" grandRow="1" outline="0" axis="axisRow" fieldPosition="0">
        <references count="1">
          <reference field="4294967294" count="1" selected="0">
            <x v="3"/>
          </reference>
        </references>
      </pivotArea>
    </format>
    <format dxfId="1779">
      <pivotArea field="0" dataOnly="0" labelOnly="1" grandRow="1" outline="0" axis="axisRow" fieldPosition="0">
        <references count="1">
          <reference field="4294967294" count="1" selected="0">
            <x v="4"/>
          </reference>
        </references>
      </pivotArea>
    </format>
    <format dxfId="1778">
      <pivotArea field="0" dataOnly="0" labelOnly="1" grandRow="1" outline="0" axis="axisRow" fieldPosition="0">
        <references count="1">
          <reference field="4294967294" count="1" selected="0">
            <x v="5"/>
          </reference>
        </references>
      </pivotArea>
    </format>
    <format dxfId="1777">
      <pivotArea field="0" dataOnly="0" labelOnly="1" grandRow="1" outline="0" axis="axisRow" fieldPosition="0">
        <references count="1">
          <reference field="4294967294" count="1" selected="0">
            <x v="6"/>
          </reference>
        </references>
      </pivotArea>
    </format>
    <format dxfId="1776">
      <pivotArea field="0" dataOnly="0" labelOnly="1" grandRow="1" outline="0" axis="axisRow" fieldPosition="0">
        <references count="1">
          <reference field="4294967294" count="1" selected="0">
            <x v="7"/>
          </reference>
        </references>
      </pivotArea>
    </format>
    <format dxfId="1775">
      <pivotArea field="0" dataOnly="0" labelOnly="1" grandRow="1" outline="0" axis="axisRow" fieldPosition="0">
        <references count="1">
          <reference field="4294967294" count="1" selected="0">
            <x v="8"/>
          </reference>
        </references>
      </pivotArea>
    </format>
    <format dxfId="1774">
      <pivotArea field="0" dataOnly="0" labelOnly="1" grandRow="1" outline="0" axis="axisRow" fieldPosition="0">
        <references count="1">
          <reference field="4294967294" count="1" selected="0">
            <x v="9"/>
          </reference>
        </references>
      </pivotArea>
    </format>
    <format dxfId="1773">
      <pivotArea field="0" dataOnly="0" labelOnly="1" grandRow="1" outline="0" axis="axisRow" fieldPosition="0">
        <references count="1">
          <reference field="4294967294" count="1" selected="0">
            <x v="10"/>
          </reference>
        </references>
      </pivotArea>
    </format>
    <format dxfId="1772">
      <pivotArea field="0" dataOnly="0" labelOnly="1" grandRow="1" outline="0" axis="axisRow" fieldPosition="0">
        <references count="1">
          <reference field="4294967294" count="1" selected="0">
            <x v="11"/>
          </reference>
        </references>
      </pivotArea>
    </format>
    <format dxfId="1771">
      <pivotArea field="0" dataOnly="0" labelOnly="1" grandRow="1" outline="0" axis="axisRow" fieldPosition="0">
        <references count="1">
          <reference field="4294967294" count="1" selected="0">
            <x v="12"/>
          </reference>
        </references>
      </pivotArea>
    </format>
    <format dxfId="1770">
      <pivotArea field="0" dataOnly="0" labelOnly="1" grandRow="1" outline="0" axis="axisRow" fieldPosition="0">
        <references count="1">
          <reference field="4294967294" count="1" selected="0">
            <x v="13"/>
          </reference>
        </references>
      </pivotArea>
    </format>
    <format dxfId="1769">
      <pivotArea field="0" dataOnly="0" labelOnly="1" grandRow="1" outline="0" axis="axisRow" fieldPosition="0">
        <references count="1">
          <reference field="4294967294" count="1" selected="0">
            <x v="14"/>
          </reference>
        </references>
      </pivotArea>
    </format>
    <format dxfId="1768">
      <pivotArea field="0" dataOnly="0" labelOnly="1" grandRow="1" outline="0" axis="axisRow" fieldPosition="0">
        <references count="1">
          <reference field="4294967294" count="1" selected="0">
            <x v="15"/>
          </reference>
        </references>
      </pivotArea>
    </format>
    <format dxfId="1767">
      <pivotArea field="0" dataOnly="0" labelOnly="1" grandRow="1" outline="0" axis="axisRow" fieldPosition="0">
        <references count="1">
          <reference field="4294967294" count="1" selected="0">
            <x v="16"/>
          </reference>
        </references>
      </pivotArea>
    </format>
    <format dxfId="1766">
      <pivotArea field="0" dataOnly="0" labelOnly="1" grandRow="1" outline="0" axis="axisRow" fieldPosition="0">
        <references count="1">
          <reference field="4294967294" count="1" selected="0">
            <x v="17"/>
          </reference>
        </references>
      </pivotArea>
    </format>
    <format dxfId="1765">
      <pivotArea field="0" dataOnly="0" labelOnly="1" grandRow="1" outline="0" axis="axisRow" fieldPosition="0">
        <references count="1">
          <reference field="4294967294" count="1" selected="0">
            <x v="18"/>
          </reference>
        </references>
      </pivotArea>
    </format>
    <format dxfId="1764">
      <pivotArea field="0" dataOnly="0" labelOnly="1" grandRow="1" outline="0" axis="axisRow" fieldPosition="0">
        <references count="1">
          <reference field="4294967294" count="1" selected="0">
            <x v="19"/>
          </reference>
        </references>
      </pivotArea>
    </format>
    <format dxfId="1763">
      <pivotArea field="0" dataOnly="0" labelOnly="1" grandRow="1" outline="0" axis="axisRow" fieldPosition="0">
        <references count="1">
          <reference field="4294967294" count="1" selected="0">
            <x v="20"/>
          </reference>
        </references>
      </pivotArea>
    </format>
    <format dxfId="1762">
      <pivotArea field="0" dataOnly="0" labelOnly="1" grandRow="1" outline="0" axis="axisRow" fieldPosition="0">
        <references count="1">
          <reference field="4294967294" count="1" selected="0">
            <x v="21"/>
          </reference>
        </references>
      </pivotArea>
    </format>
    <format dxfId="1761">
      <pivotArea field="0" dataOnly="0" labelOnly="1" grandRow="1" outline="0" axis="axisRow" fieldPosition="0">
        <references count="1">
          <reference field="4294967294" count="1" selected="0">
            <x v="22"/>
          </reference>
        </references>
      </pivotArea>
    </format>
    <format dxfId="1760">
      <pivotArea field="0" dataOnly="0" labelOnly="1" grandRow="1" outline="0" axis="axisRow" fieldPosition="0">
        <references count="1">
          <reference field="4294967294" count="1" selected="0">
            <x v="23"/>
          </reference>
        </references>
      </pivotArea>
    </format>
    <format dxfId="1759">
      <pivotArea field="0" dataOnly="0" labelOnly="1" grandRow="1" outline="0" axis="axisRow" fieldPosition="0">
        <references count="1">
          <reference field="4294967294" count="1" selected="0">
            <x v="24"/>
          </reference>
        </references>
      </pivotArea>
    </format>
    <format dxfId="1758">
      <pivotArea field="0" dataOnly="0" labelOnly="1" grandRow="1" outline="0" axis="axisRow" fieldPosition="0">
        <references count="1">
          <reference field="4294967294" count="1" selected="0">
            <x v="25"/>
          </reference>
        </references>
      </pivotArea>
    </format>
    <format dxfId="1757">
      <pivotArea field="0" dataOnly="0" labelOnly="1" grandRow="1" outline="0" axis="axisRow" fieldPosition="0">
        <references count="1">
          <reference field="4294967294" count="1" selected="0">
            <x v="26"/>
          </reference>
        </references>
      </pivotArea>
    </format>
    <format dxfId="1756">
      <pivotArea field="0" dataOnly="0" labelOnly="1" grandRow="1" outline="0" axis="axisRow" fieldPosition="0">
        <references count="1">
          <reference field="4294967294" count="1" selected="0">
            <x v="27"/>
          </reference>
        </references>
      </pivotArea>
    </format>
    <format dxfId="1755">
      <pivotArea field="0" dataOnly="0" labelOnly="1" grandRow="1" outline="0" axis="axisRow" fieldPosition="0">
        <references count="1">
          <reference field="4294967294" count="1" selected="0">
            <x v="28"/>
          </reference>
        </references>
      </pivotArea>
    </format>
    <format dxfId="1754">
      <pivotArea field="0" dataOnly="0" labelOnly="1" grandRow="1" outline="0" axis="axisRow" fieldPosition="0">
        <references count="1">
          <reference field="4294967294" count="1" selected="0">
            <x v="29"/>
          </reference>
        </references>
      </pivotArea>
    </format>
    <format dxfId="1753">
      <pivotArea field="0" dataOnly="0" labelOnly="1" grandRow="1" outline="0" axis="axisRow" fieldPosition="0">
        <references count="1">
          <reference field="4294967294" count="1" selected="0">
            <x v="30"/>
          </reference>
        </references>
      </pivotArea>
    </format>
    <format dxfId="1752">
      <pivotArea field="0" dataOnly="0" labelOnly="1" grandRow="1" outline="0" axis="axisRow" fieldPosition="0">
        <references count="1">
          <reference field="4294967294" count="1" selected="0">
            <x v="31"/>
          </reference>
        </references>
      </pivotArea>
    </format>
    <format dxfId="1751">
      <pivotArea field="0" dataOnly="0" labelOnly="1" grandRow="1" outline="0" axis="axisRow" fieldPosition="0">
        <references count="1">
          <reference field="4294967294" count="1" selected="0">
            <x v="32"/>
          </reference>
        </references>
      </pivotArea>
    </format>
    <format dxfId="1750">
      <pivotArea field="0" dataOnly="0" labelOnly="1" grandRow="1" outline="0" axis="axisRow" fieldPosition="0">
        <references count="1">
          <reference field="4294967294" count="1" selected="0">
            <x v="33"/>
          </reference>
        </references>
      </pivotArea>
    </format>
    <format dxfId="1749">
      <pivotArea field="0" dataOnly="0" labelOnly="1" grandRow="1" outline="0" axis="axisRow" fieldPosition="0">
        <references count="1">
          <reference field="4294967294" count="1" selected="0">
            <x v="34"/>
          </reference>
        </references>
      </pivotArea>
    </format>
    <format dxfId="1748">
      <pivotArea field="0" dataOnly="0" labelOnly="1" grandRow="1" outline="0" axis="axisRow" fieldPosition="0">
        <references count="1">
          <reference field="4294967294" count="1" selected="0">
            <x v="35"/>
          </reference>
        </references>
      </pivotArea>
    </format>
    <format dxfId="1747">
      <pivotArea field="0" dataOnly="0" labelOnly="1" grandRow="1" outline="0" axis="axisRow" fieldPosition="0">
        <references count="1">
          <reference field="4294967294" count="1" selected="0">
            <x v="0"/>
          </reference>
        </references>
      </pivotArea>
    </format>
    <format dxfId="1746">
      <pivotArea field="0" dataOnly="0" labelOnly="1" grandRow="1" outline="0" axis="axisRow" fieldPosition="0">
        <references count="1">
          <reference field="4294967294" count="1" selected="0">
            <x v="1"/>
          </reference>
        </references>
      </pivotArea>
    </format>
    <format dxfId="1745">
      <pivotArea field="0" dataOnly="0" labelOnly="1" grandRow="1" outline="0" axis="axisRow" fieldPosition="0">
        <references count="1">
          <reference field="4294967294" count="1" selected="0">
            <x v="2"/>
          </reference>
        </references>
      </pivotArea>
    </format>
    <format dxfId="1744">
      <pivotArea field="0" dataOnly="0" labelOnly="1" grandRow="1" outline="0" axis="axisRow" fieldPosition="0">
        <references count="1">
          <reference field="4294967294" count="1" selected="0">
            <x v="3"/>
          </reference>
        </references>
      </pivotArea>
    </format>
    <format dxfId="1743">
      <pivotArea field="0" dataOnly="0" labelOnly="1" grandRow="1" outline="0" axis="axisRow" fieldPosition="0">
        <references count="1">
          <reference field="4294967294" count="1" selected="0">
            <x v="4"/>
          </reference>
        </references>
      </pivotArea>
    </format>
    <format dxfId="1742">
      <pivotArea field="0" dataOnly="0" labelOnly="1" grandRow="1" outline="0" axis="axisRow" fieldPosition="0">
        <references count="1">
          <reference field="4294967294" count="1" selected="0">
            <x v="5"/>
          </reference>
        </references>
      </pivotArea>
    </format>
    <format dxfId="1741">
      <pivotArea field="0" dataOnly="0" labelOnly="1" grandRow="1" outline="0" axis="axisRow" fieldPosition="0">
        <references count="1">
          <reference field="4294967294" count="1" selected="0">
            <x v="6"/>
          </reference>
        </references>
      </pivotArea>
    </format>
    <format dxfId="1740">
      <pivotArea field="0" dataOnly="0" labelOnly="1" grandRow="1" outline="0" axis="axisRow" fieldPosition="0">
        <references count="1">
          <reference field="4294967294" count="1" selected="0">
            <x v="7"/>
          </reference>
        </references>
      </pivotArea>
    </format>
    <format dxfId="1739">
      <pivotArea field="0" dataOnly="0" labelOnly="1" grandRow="1" outline="0" axis="axisRow" fieldPosition="0">
        <references count="1">
          <reference field="4294967294" count="1" selected="0">
            <x v="8"/>
          </reference>
        </references>
      </pivotArea>
    </format>
    <format dxfId="1738">
      <pivotArea field="0" dataOnly="0" labelOnly="1" grandRow="1" outline="0" axis="axisRow" fieldPosition="0">
        <references count="1">
          <reference field="4294967294" count="1" selected="0">
            <x v="9"/>
          </reference>
        </references>
      </pivotArea>
    </format>
    <format dxfId="1737">
      <pivotArea field="0" dataOnly="0" labelOnly="1" grandRow="1" outline="0" axis="axisRow" fieldPosition="0">
        <references count="1">
          <reference field="4294967294" count="1" selected="0">
            <x v="10"/>
          </reference>
        </references>
      </pivotArea>
    </format>
    <format dxfId="1736">
      <pivotArea field="0" dataOnly="0" labelOnly="1" grandRow="1" outline="0" axis="axisRow" fieldPosition="0">
        <references count="1">
          <reference field="4294967294" count="1" selected="0">
            <x v="11"/>
          </reference>
        </references>
      </pivotArea>
    </format>
    <format dxfId="1735">
      <pivotArea field="0" dataOnly="0" labelOnly="1" grandRow="1" outline="0" axis="axisRow" fieldPosition="0">
        <references count="1">
          <reference field="4294967294" count="1" selected="0">
            <x v="12"/>
          </reference>
        </references>
      </pivotArea>
    </format>
    <format dxfId="1734">
      <pivotArea field="0" dataOnly="0" labelOnly="1" grandRow="1" outline="0" axis="axisRow" fieldPosition="0">
        <references count="1">
          <reference field="4294967294" count="1" selected="0">
            <x v="13"/>
          </reference>
        </references>
      </pivotArea>
    </format>
    <format dxfId="1733">
      <pivotArea field="0" dataOnly="0" labelOnly="1" grandRow="1" outline="0" axis="axisRow" fieldPosition="0">
        <references count="1">
          <reference field="4294967294" count="1" selected="0">
            <x v="14"/>
          </reference>
        </references>
      </pivotArea>
    </format>
    <format dxfId="1732">
      <pivotArea field="0" dataOnly="0" labelOnly="1" grandRow="1" outline="0" axis="axisRow" fieldPosition="0">
        <references count="1">
          <reference field="4294967294" count="1" selected="0">
            <x v="15"/>
          </reference>
        </references>
      </pivotArea>
    </format>
    <format dxfId="1731">
      <pivotArea field="0" dataOnly="0" labelOnly="1" grandRow="1" outline="0" axis="axisRow" fieldPosition="0">
        <references count="1">
          <reference field="4294967294" count="1" selected="0">
            <x v="16"/>
          </reference>
        </references>
      </pivotArea>
    </format>
    <format dxfId="1730">
      <pivotArea field="0" dataOnly="0" labelOnly="1" grandRow="1" outline="0" axis="axisRow" fieldPosition="0">
        <references count="1">
          <reference field="4294967294" count="1" selected="0">
            <x v="17"/>
          </reference>
        </references>
      </pivotArea>
    </format>
    <format dxfId="1729">
      <pivotArea field="0" dataOnly="0" labelOnly="1" grandRow="1" outline="0" axis="axisRow" fieldPosition="0">
        <references count="1">
          <reference field="4294967294" count="1" selected="0">
            <x v="18"/>
          </reference>
        </references>
      </pivotArea>
    </format>
    <format dxfId="1728">
      <pivotArea field="0" dataOnly="0" labelOnly="1" grandRow="1" outline="0" axis="axisRow" fieldPosition="0">
        <references count="1">
          <reference field="4294967294" count="1" selected="0">
            <x v="19"/>
          </reference>
        </references>
      </pivotArea>
    </format>
    <format dxfId="1727">
      <pivotArea field="0" dataOnly="0" labelOnly="1" grandRow="1" outline="0" axis="axisRow" fieldPosition="0">
        <references count="1">
          <reference field="4294967294" count="1" selected="0">
            <x v="20"/>
          </reference>
        </references>
      </pivotArea>
    </format>
    <format dxfId="1726">
      <pivotArea field="0" dataOnly="0" labelOnly="1" grandRow="1" outline="0" axis="axisRow" fieldPosition="0">
        <references count="1">
          <reference field="4294967294" count="1" selected="0">
            <x v="21"/>
          </reference>
        </references>
      </pivotArea>
    </format>
    <format dxfId="1725">
      <pivotArea field="0" dataOnly="0" labelOnly="1" grandRow="1" outline="0" axis="axisRow" fieldPosition="0">
        <references count="1">
          <reference field="4294967294" count="1" selected="0">
            <x v="22"/>
          </reference>
        </references>
      </pivotArea>
    </format>
    <format dxfId="1724">
      <pivotArea field="0" dataOnly="0" labelOnly="1" grandRow="1" outline="0" axis="axisRow" fieldPosition="0">
        <references count="1">
          <reference field="4294967294" count="1" selected="0">
            <x v="23"/>
          </reference>
        </references>
      </pivotArea>
    </format>
    <format dxfId="1723">
      <pivotArea field="0" dataOnly="0" labelOnly="1" grandRow="1" outline="0" axis="axisRow" fieldPosition="0">
        <references count="1">
          <reference field="4294967294" count="1" selected="0">
            <x v="24"/>
          </reference>
        </references>
      </pivotArea>
    </format>
    <format dxfId="1722">
      <pivotArea field="0" dataOnly="0" labelOnly="1" grandRow="1" outline="0" axis="axisRow" fieldPosition="0">
        <references count="1">
          <reference field="4294967294" count="1" selected="0">
            <x v="25"/>
          </reference>
        </references>
      </pivotArea>
    </format>
    <format dxfId="1721">
      <pivotArea field="0" dataOnly="0" labelOnly="1" grandRow="1" outline="0" axis="axisRow" fieldPosition="0">
        <references count="1">
          <reference field="4294967294" count="1" selected="0">
            <x v="26"/>
          </reference>
        </references>
      </pivotArea>
    </format>
    <format dxfId="1720">
      <pivotArea field="0" dataOnly="0" labelOnly="1" grandRow="1" outline="0" axis="axisRow" fieldPosition="0">
        <references count="1">
          <reference field="4294967294" count="1" selected="0">
            <x v="27"/>
          </reference>
        </references>
      </pivotArea>
    </format>
    <format dxfId="1719">
      <pivotArea field="0" dataOnly="0" labelOnly="1" grandRow="1" outline="0" axis="axisRow" fieldPosition="0">
        <references count="1">
          <reference field="4294967294" count="1" selected="0">
            <x v="28"/>
          </reference>
        </references>
      </pivotArea>
    </format>
    <format dxfId="1718">
      <pivotArea field="0" dataOnly="0" labelOnly="1" grandRow="1" outline="0" axis="axisRow" fieldPosition="0">
        <references count="1">
          <reference field="4294967294" count="1" selected="0">
            <x v="29"/>
          </reference>
        </references>
      </pivotArea>
    </format>
    <format dxfId="1717">
      <pivotArea field="0" dataOnly="0" labelOnly="1" grandRow="1" outline="0" axis="axisRow" fieldPosition="0">
        <references count="1">
          <reference field="4294967294" count="1" selected="0">
            <x v="30"/>
          </reference>
        </references>
      </pivotArea>
    </format>
    <format dxfId="1716">
      <pivotArea field="0" dataOnly="0" labelOnly="1" grandRow="1" outline="0" axis="axisRow" fieldPosition="0">
        <references count="1">
          <reference field="4294967294" count="1" selected="0">
            <x v="31"/>
          </reference>
        </references>
      </pivotArea>
    </format>
    <format dxfId="1715">
      <pivotArea field="0" dataOnly="0" labelOnly="1" grandRow="1" outline="0" axis="axisRow" fieldPosition="0">
        <references count="1">
          <reference field="4294967294" count="1" selected="0">
            <x v="32"/>
          </reference>
        </references>
      </pivotArea>
    </format>
    <format dxfId="1714">
      <pivotArea field="0" dataOnly="0" labelOnly="1" grandRow="1" outline="0" axis="axisRow" fieldPosition="0">
        <references count="1">
          <reference field="4294967294" count="1" selected="0">
            <x v="33"/>
          </reference>
        </references>
      </pivotArea>
    </format>
    <format dxfId="1713">
      <pivotArea field="0" dataOnly="0" labelOnly="1" grandRow="1" outline="0" axis="axisRow" fieldPosition="0">
        <references count="1">
          <reference field="4294967294" count="1" selected="0">
            <x v="34"/>
          </reference>
        </references>
      </pivotArea>
    </format>
    <format dxfId="1712">
      <pivotArea field="0" dataOnly="0" labelOnly="1" grandRow="1" outline="0" axis="axisRow" fieldPosition="0">
        <references count="1">
          <reference field="4294967294" count="1" selected="0">
            <x v="35"/>
          </reference>
        </references>
      </pivotArea>
    </format>
    <format dxfId="1711">
      <pivotArea field="0" dataOnly="0" labelOnly="1" grandRow="1" outline="0" axis="axisRow" fieldPosition="0">
        <references count="1">
          <reference field="4294967294" count="1" selected="0">
            <x v="0"/>
          </reference>
        </references>
      </pivotArea>
    </format>
    <format dxfId="1710">
      <pivotArea field="0" dataOnly="0" labelOnly="1" grandRow="1" outline="0" axis="axisRow" fieldPosition="0">
        <references count="1">
          <reference field="4294967294" count="1" selected="0">
            <x v="1"/>
          </reference>
        </references>
      </pivotArea>
    </format>
    <format dxfId="1709">
      <pivotArea field="0" dataOnly="0" labelOnly="1" grandRow="1" outline="0" axis="axisRow" fieldPosition="0">
        <references count="1">
          <reference field="4294967294" count="1" selected="0">
            <x v="2"/>
          </reference>
        </references>
      </pivotArea>
    </format>
    <format dxfId="1708">
      <pivotArea field="0" dataOnly="0" labelOnly="1" grandRow="1" outline="0" axis="axisRow" fieldPosition="0">
        <references count="1">
          <reference field="4294967294" count="1" selected="0">
            <x v="3"/>
          </reference>
        </references>
      </pivotArea>
    </format>
    <format dxfId="1707">
      <pivotArea field="0" dataOnly="0" labelOnly="1" grandRow="1" outline="0" axis="axisRow" fieldPosition="0">
        <references count="1">
          <reference field="4294967294" count="1" selected="0">
            <x v="4"/>
          </reference>
        </references>
      </pivotArea>
    </format>
    <format dxfId="1706">
      <pivotArea field="0" dataOnly="0" labelOnly="1" grandRow="1" outline="0" axis="axisRow" fieldPosition="0">
        <references count="1">
          <reference field="4294967294" count="1" selected="0">
            <x v="5"/>
          </reference>
        </references>
      </pivotArea>
    </format>
    <format dxfId="1705">
      <pivotArea field="0" dataOnly="0" labelOnly="1" grandRow="1" outline="0" axis="axisRow" fieldPosition="0">
        <references count="1">
          <reference field="4294967294" count="1" selected="0">
            <x v="6"/>
          </reference>
        </references>
      </pivotArea>
    </format>
    <format dxfId="1704">
      <pivotArea field="0" dataOnly="0" labelOnly="1" grandRow="1" outline="0" axis="axisRow" fieldPosition="0">
        <references count="1">
          <reference field="4294967294" count="1" selected="0">
            <x v="7"/>
          </reference>
        </references>
      </pivotArea>
    </format>
    <format dxfId="1703">
      <pivotArea field="0" dataOnly="0" labelOnly="1" grandRow="1" outline="0" axis="axisRow" fieldPosition="0">
        <references count="1">
          <reference field="4294967294" count="1" selected="0">
            <x v="8"/>
          </reference>
        </references>
      </pivotArea>
    </format>
    <format dxfId="1702">
      <pivotArea field="0" dataOnly="0" labelOnly="1" grandRow="1" outline="0" axis="axisRow" fieldPosition="0">
        <references count="1">
          <reference field="4294967294" count="1" selected="0">
            <x v="9"/>
          </reference>
        </references>
      </pivotArea>
    </format>
    <format dxfId="1701">
      <pivotArea field="0" dataOnly="0" labelOnly="1" grandRow="1" outline="0" axis="axisRow" fieldPosition="0">
        <references count="1">
          <reference field="4294967294" count="1" selected="0">
            <x v="10"/>
          </reference>
        </references>
      </pivotArea>
    </format>
    <format dxfId="1700">
      <pivotArea field="0" dataOnly="0" labelOnly="1" grandRow="1" outline="0" axis="axisRow" fieldPosition="0">
        <references count="1">
          <reference field="4294967294" count="1" selected="0">
            <x v="11"/>
          </reference>
        </references>
      </pivotArea>
    </format>
    <format dxfId="1699">
      <pivotArea field="0" dataOnly="0" labelOnly="1" grandRow="1" outline="0" axis="axisRow" fieldPosition="0">
        <references count="1">
          <reference field="4294967294" count="1" selected="0">
            <x v="12"/>
          </reference>
        </references>
      </pivotArea>
    </format>
    <format dxfId="1698">
      <pivotArea field="0" dataOnly="0" labelOnly="1" grandRow="1" outline="0" axis="axisRow" fieldPosition="0">
        <references count="1">
          <reference field="4294967294" count="1" selected="0">
            <x v="13"/>
          </reference>
        </references>
      </pivotArea>
    </format>
    <format dxfId="1697">
      <pivotArea field="0" dataOnly="0" labelOnly="1" grandRow="1" outline="0" axis="axisRow" fieldPosition="0">
        <references count="1">
          <reference field="4294967294" count="1" selected="0">
            <x v="14"/>
          </reference>
        </references>
      </pivotArea>
    </format>
    <format dxfId="1696">
      <pivotArea field="0" dataOnly="0" labelOnly="1" grandRow="1" outline="0" axis="axisRow" fieldPosition="0">
        <references count="1">
          <reference field="4294967294" count="1" selected="0">
            <x v="15"/>
          </reference>
        </references>
      </pivotArea>
    </format>
    <format dxfId="1695">
      <pivotArea field="0" dataOnly="0" labelOnly="1" grandRow="1" outline="0" axis="axisRow" fieldPosition="0">
        <references count="1">
          <reference field="4294967294" count="1" selected="0">
            <x v="16"/>
          </reference>
        </references>
      </pivotArea>
    </format>
    <format dxfId="1694">
      <pivotArea field="0" dataOnly="0" labelOnly="1" grandRow="1" outline="0" axis="axisRow" fieldPosition="0">
        <references count="1">
          <reference field="4294967294" count="1" selected="0">
            <x v="17"/>
          </reference>
        </references>
      </pivotArea>
    </format>
    <format dxfId="1693">
      <pivotArea field="0" dataOnly="0" labelOnly="1" grandRow="1" outline="0" axis="axisRow" fieldPosition="0">
        <references count="1">
          <reference field="4294967294" count="1" selected="0">
            <x v="18"/>
          </reference>
        </references>
      </pivotArea>
    </format>
    <format dxfId="1692">
      <pivotArea field="0" dataOnly="0" labelOnly="1" grandRow="1" outline="0" axis="axisRow" fieldPosition="0">
        <references count="1">
          <reference field="4294967294" count="1" selected="0">
            <x v="19"/>
          </reference>
        </references>
      </pivotArea>
    </format>
    <format dxfId="1691">
      <pivotArea field="0" dataOnly="0" labelOnly="1" grandRow="1" outline="0" axis="axisRow" fieldPosition="0">
        <references count="1">
          <reference field="4294967294" count="1" selected="0">
            <x v="20"/>
          </reference>
        </references>
      </pivotArea>
    </format>
    <format dxfId="1690">
      <pivotArea field="0" dataOnly="0" labelOnly="1" grandRow="1" outline="0" axis="axisRow" fieldPosition="0">
        <references count="1">
          <reference field="4294967294" count="1" selected="0">
            <x v="21"/>
          </reference>
        </references>
      </pivotArea>
    </format>
    <format dxfId="1689">
      <pivotArea field="0" dataOnly="0" labelOnly="1" grandRow="1" outline="0" axis="axisRow" fieldPosition="0">
        <references count="1">
          <reference field="4294967294" count="1" selected="0">
            <x v="22"/>
          </reference>
        </references>
      </pivotArea>
    </format>
    <format dxfId="1688">
      <pivotArea field="0" dataOnly="0" labelOnly="1" grandRow="1" outline="0" axis="axisRow" fieldPosition="0">
        <references count="1">
          <reference field="4294967294" count="1" selected="0">
            <x v="23"/>
          </reference>
        </references>
      </pivotArea>
    </format>
    <format dxfId="1687">
      <pivotArea field="0" dataOnly="0" labelOnly="1" grandRow="1" outline="0" axis="axisRow" fieldPosition="0">
        <references count="1">
          <reference field="4294967294" count="1" selected="0">
            <x v="24"/>
          </reference>
        </references>
      </pivotArea>
    </format>
    <format dxfId="1686">
      <pivotArea field="0" dataOnly="0" labelOnly="1" grandRow="1" outline="0" axis="axisRow" fieldPosition="0">
        <references count="1">
          <reference field="4294967294" count="1" selected="0">
            <x v="25"/>
          </reference>
        </references>
      </pivotArea>
    </format>
    <format dxfId="1685">
      <pivotArea field="0" dataOnly="0" labelOnly="1" grandRow="1" outline="0" axis="axisRow" fieldPosition="0">
        <references count="1">
          <reference field="4294967294" count="1" selected="0">
            <x v="26"/>
          </reference>
        </references>
      </pivotArea>
    </format>
    <format dxfId="1684">
      <pivotArea field="0" dataOnly="0" labelOnly="1" grandRow="1" outline="0" axis="axisRow" fieldPosition="0">
        <references count="1">
          <reference field="4294967294" count="1" selected="0">
            <x v="27"/>
          </reference>
        </references>
      </pivotArea>
    </format>
    <format dxfId="1683">
      <pivotArea field="0" dataOnly="0" labelOnly="1" grandRow="1" outline="0" axis="axisRow" fieldPosition="0">
        <references count="1">
          <reference field="4294967294" count="1" selected="0">
            <x v="28"/>
          </reference>
        </references>
      </pivotArea>
    </format>
    <format dxfId="1682">
      <pivotArea field="0" dataOnly="0" labelOnly="1" grandRow="1" outline="0" axis="axisRow" fieldPosition="0">
        <references count="1">
          <reference field="4294967294" count="1" selected="0">
            <x v="29"/>
          </reference>
        </references>
      </pivotArea>
    </format>
    <format dxfId="1681">
      <pivotArea field="0" dataOnly="0" labelOnly="1" grandRow="1" outline="0" axis="axisRow" fieldPosition="0">
        <references count="1">
          <reference field="4294967294" count="1" selected="0">
            <x v="30"/>
          </reference>
        </references>
      </pivotArea>
    </format>
    <format dxfId="1680">
      <pivotArea field="0" dataOnly="0" labelOnly="1" grandRow="1" outline="0" axis="axisRow" fieldPosition="0">
        <references count="1">
          <reference field="4294967294" count="1" selected="0">
            <x v="31"/>
          </reference>
        </references>
      </pivotArea>
    </format>
    <format dxfId="1679">
      <pivotArea field="0" dataOnly="0" labelOnly="1" grandRow="1" outline="0" axis="axisRow" fieldPosition="0">
        <references count="1">
          <reference field="4294967294" count="1" selected="0">
            <x v="32"/>
          </reference>
        </references>
      </pivotArea>
    </format>
    <format dxfId="1678">
      <pivotArea field="0" dataOnly="0" labelOnly="1" grandRow="1" outline="0" axis="axisRow" fieldPosition="0">
        <references count="1">
          <reference field="4294967294" count="1" selected="0">
            <x v="33"/>
          </reference>
        </references>
      </pivotArea>
    </format>
    <format dxfId="1677">
      <pivotArea field="0" dataOnly="0" labelOnly="1" grandRow="1" outline="0" axis="axisRow" fieldPosition="0">
        <references count="1">
          <reference field="4294967294" count="1" selected="0">
            <x v="34"/>
          </reference>
        </references>
      </pivotArea>
    </format>
    <format dxfId="1676">
      <pivotArea field="0" dataOnly="0" labelOnly="1" grandRow="1" outline="0" axis="axisRow" fieldPosition="0">
        <references count="1">
          <reference field="4294967294" count="1" selected="0">
            <x v="35"/>
          </reference>
        </references>
      </pivotArea>
    </format>
    <format dxfId="167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167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167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167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167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167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166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166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66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166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166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166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166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166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166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166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1659">
      <pivotArea dataOnly="0" labelOnly="1" outline="0" fieldPosition="0">
        <references count="1">
          <reference field="70" count="0"/>
        </references>
      </pivotArea>
    </format>
    <format dxfId="1658">
      <pivotArea dataOnly="0" labelOnly="1" outline="0" fieldPosition="0">
        <references count="1">
          <reference field="70" count="0" defaultSubtotal="1"/>
        </references>
      </pivotArea>
    </format>
    <format dxfId="1657">
      <pivotArea dataOnly="0" labelOnly="1" grandCol="1" outline="0" fieldPosition="0"/>
    </format>
    <format dxfId="1656">
      <pivotArea dataOnly="0" labelOnly="1" outline="0" fieldPosition="0">
        <references count="2">
          <reference field="4" count="7">
            <x v="0"/>
            <x v="1"/>
            <x v="2"/>
            <x v="3"/>
            <x v="4"/>
            <x v="5"/>
            <x v="6"/>
          </reference>
          <reference field="70" count="1" selected="0">
            <x v="0"/>
          </reference>
        </references>
      </pivotArea>
    </format>
    <format dxfId="1655">
      <pivotArea dataOnly="0" labelOnly="1" outline="0" fieldPosition="0">
        <references count="2">
          <reference field="4" count="4">
            <x v="7"/>
            <x v="8"/>
            <x v="9"/>
            <x v="10"/>
          </reference>
          <reference field="70" count="1" selected="0">
            <x v="1"/>
          </reference>
        </references>
      </pivotArea>
    </format>
    <format dxfId="1654">
      <pivotArea dataOnly="0" labelOnly="1" outline="0" fieldPosition="0">
        <references count="2">
          <reference field="4" count="2">
            <x v="11"/>
            <x v="12"/>
          </reference>
          <reference field="70" count="1" selected="0">
            <x v="2"/>
          </reference>
        </references>
      </pivotArea>
    </format>
    <format dxfId="1653">
      <pivotArea outline="0" fieldPosition="0">
        <references count="4">
          <reference field="4294967294" count="1" selected="0">
            <x v="2"/>
          </reference>
          <reference field="0" count="1" selected="0">
            <x v="0"/>
          </reference>
          <reference field="4" count="1" selected="0">
            <x v="5"/>
          </reference>
          <reference field="70" count="1" selected="0">
            <x v="0"/>
          </reference>
        </references>
      </pivotArea>
    </format>
    <format dxfId="1652">
      <pivotArea outline="0" fieldPosition="0">
        <references count="4">
          <reference field="4294967294" count="1" selected="0">
            <x v="8"/>
          </reference>
          <reference field="0" count="1" selected="0">
            <x v="0"/>
          </reference>
          <reference field="4" count="1" selected="0">
            <x v="5"/>
          </reference>
          <reference field="70" count="1" selected="0">
            <x v="0"/>
          </reference>
        </references>
      </pivotArea>
    </format>
    <format dxfId="1651">
      <pivotArea outline="0" fieldPosition="0">
        <references count="4">
          <reference field="4294967294" count="1" selected="0">
            <x v="20"/>
          </reference>
          <reference field="0" count="1" selected="0">
            <x v="0"/>
          </reference>
          <reference field="4" count="1" selected="0">
            <x v="1"/>
          </reference>
          <reference field="70" count="1" selected="0">
            <x v="0"/>
          </reference>
        </references>
      </pivotArea>
    </format>
    <format dxfId="1650">
      <pivotArea outline="0" fieldPosition="0">
        <references count="4">
          <reference field="4294967294" count="1" selected="0">
            <x v="26"/>
          </reference>
          <reference field="0" count="1" selected="0">
            <x v="0"/>
          </reference>
          <reference field="4" count="1" selected="0">
            <x v="1"/>
          </reference>
          <reference field="70" count="1" selected="0">
            <x v="0"/>
          </reference>
        </references>
      </pivotArea>
    </format>
    <format dxfId="1649">
      <pivotArea outline="0" fieldPosition="0">
        <references count="4">
          <reference field="4294967294" count="1" selected="0">
            <x v="26"/>
          </reference>
          <reference field="0" count="1" selected="0">
            <x v="0"/>
          </reference>
          <reference field="4" count="1" selected="0">
            <x v="3"/>
          </reference>
          <reference field="70" count="1" selected="0">
            <x v="0"/>
          </reference>
        </references>
      </pivotArea>
    </format>
    <format dxfId="1648">
      <pivotArea outline="0" fieldPosition="0">
        <references count="4">
          <reference field="4294967294" count="1" selected="0">
            <x v="14"/>
          </reference>
          <reference field="0" count="1" selected="0">
            <x v="0"/>
          </reference>
          <reference field="4" count="1" selected="0">
            <x v="10"/>
          </reference>
          <reference field="70" count="1" selected="0">
            <x v="1"/>
          </reference>
        </references>
      </pivotArea>
    </format>
    <format dxfId="1647">
      <pivotArea outline="0" fieldPosition="0">
        <references count="4">
          <reference field="4294967294" count="1" selected="0">
            <x v="2"/>
          </reference>
          <reference field="0" count="1" selected="0">
            <x v="0"/>
          </reference>
          <reference field="4" count="1" selected="0">
            <x v="11"/>
          </reference>
          <reference field="70" count="1" selected="0">
            <x v="2"/>
          </reference>
        </references>
      </pivotArea>
    </format>
    <format dxfId="1646">
      <pivotArea outline="0" fieldPosition="0">
        <references count="4">
          <reference field="4294967294" count="1" selected="0">
            <x v="5"/>
          </reference>
          <reference field="0" count="1" selected="0">
            <x v="0"/>
          </reference>
          <reference field="4" count="1" selected="0">
            <x v="11"/>
          </reference>
          <reference field="70" count="1" selected="0">
            <x v="2"/>
          </reference>
        </references>
      </pivotArea>
    </format>
    <format dxfId="1645">
      <pivotArea outline="0" fieldPosition="0">
        <references count="4">
          <reference field="4294967294" count="1" selected="0">
            <x v="20"/>
          </reference>
          <reference field="0" count="1" selected="0">
            <x v="1"/>
          </reference>
          <reference field="4" count="1" selected="0">
            <x v="4"/>
          </reference>
          <reference field="70" count="1" selected="0">
            <x v="0"/>
          </reference>
        </references>
      </pivotArea>
    </format>
    <format dxfId="1644">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1643">
      <pivotArea outline="0" fieldPosition="0">
        <references count="4">
          <reference field="4294967294" count="1" selected="0">
            <x v="26"/>
          </reference>
          <reference field="0" count="1" selected="0">
            <x v="1"/>
          </reference>
          <reference field="4" count="1" selected="0">
            <x v="4"/>
          </reference>
          <reference field="70" count="1" selected="0">
            <x v="0"/>
          </reference>
        </references>
      </pivotArea>
    </format>
    <format dxfId="1642">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1641">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1640">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639">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638">
      <pivotArea outline="0" fieldPosition="0">
        <references count="4">
          <reference field="4294967294" count="1" selected="0">
            <x v="20"/>
          </reference>
          <reference field="0" count="1" selected="0">
            <x v="2"/>
          </reference>
          <reference field="4" count="1" selected="0">
            <x v="2"/>
          </reference>
          <reference field="70" count="1" selected="0">
            <x v="0"/>
          </reference>
        </references>
      </pivotArea>
    </format>
    <format dxfId="1637">
      <pivotArea outline="0" fieldPosition="0">
        <references count="4">
          <reference field="4294967294" count="1" selected="0">
            <x v="26"/>
          </reference>
          <reference field="0" count="1" selected="0">
            <x v="2"/>
          </reference>
          <reference field="4" count="1" selected="0">
            <x v="2"/>
          </reference>
          <reference field="70" count="1" selected="0">
            <x v="0"/>
          </reference>
        </references>
      </pivotArea>
    </format>
    <format dxfId="1636">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1635">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1634">
      <pivotArea outline="0" fieldPosition="0">
        <references count="4">
          <reference field="4294967294" count="1" selected="0">
            <x v="20"/>
          </reference>
          <reference field="0" count="1" selected="0">
            <x v="3"/>
          </reference>
          <reference field="4" count="1" selected="0">
            <x v="0"/>
          </reference>
          <reference field="70" count="1" selected="0">
            <x v="0"/>
          </reference>
        </references>
      </pivotArea>
    </format>
    <format dxfId="1633">
      <pivotArea outline="0" fieldPosition="0">
        <references count="4">
          <reference field="4294967294" count="1" selected="0">
            <x v="26"/>
          </reference>
          <reference field="0" count="1" selected="0">
            <x v="3"/>
          </reference>
          <reference field="4" count="1" selected="0">
            <x v="0"/>
          </reference>
          <reference field="70" count="1" selected="0">
            <x v="0"/>
          </reference>
        </references>
      </pivotArea>
    </format>
    <format dxfId="1632">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1631">
      <pivotArea outline="0" fieldPosition="0">
        <references count="4">
          <reference field="4294967294" count="1" selected="0">
            <x v="10"/>
          </reference>
          <reference field="0" count="1" selected="0">
            <x v="3"/>
          </reference>
          <reference field="4" count="1" selected="0">
            <x v="10"/>
          </reference>
          <reference field="70" count="1" selected="0">
            <x v="1"/>
          </reference>
        </references>
      </pivotArea>
    </format>
    <format dxfId="1630">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629">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628">
      <pivotArea outline="0" fieldPosition="0">
        <references count="4">
          <reference field="4294967294" count="1" selected="0">
            <x v="8"/>
          </reference>
          <reference field="0" count="1" selected="0">
            <x v="5"/>
          </reference>
          <reference field="4" count="1" selected="0">
            <x v="3"/>
          </reference>
          <reference field="70" count="1" selected="0">
            <x v="0"/>
          </reference>
        </references>
      </pivotArea>
    </format>
    <format dxfId="1627">
      <pivotArea outline="0" fieldPosition="0">
        <references count="4">
          <reference field="4294967294" count="1" selected="0">
            <x v="11"/>
          </reference>
          <reference field="0" count="1" selected="0">
            <x v="5"/>
          </reference>
          <reference field="4" count="1" selected="0">
            <x v="3"/>
          </reference>
          <reference field="70" count="1" selected="0">
            <x v="0"/>
          </reference>
        </references>
      </pivotArea>
    </format>
    <format dxfId="1626">
      <pivotArea outline="0" fieldPosition="0">
        <references count="4">
          <reference field="4294967294" count="1" selected="0">
            <x v="2"/>
          </reference>
          <reference field="0" count="1" selected="0">
            <x v="5"/>
          </reference>
          <reference field="4" count="1" selected="0">
            <x v="3"/>
          </reference>
          <reference field="70" count="1" selected="0">
            <x v="0"/>
          </reference>
        </references>
      </pivotArea>
    </format>
    <format dxfId="1625">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624">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623">
      <pivotArea outline="0" fieldPosition="0">
        <references count="4">
          <reference field="4294967294" count="1" selected="0">
            <x v="2"/>
          </reference>
          <reference field="0" count="1" selected="0">
            <x v="5"/>
          </reference>
          <reference field="4" count="1" selected="0">
            <x v="8"/>
          </reference>
          <reference field="70" count="1" selected="0">
            <x v="1"/>
          </reference>
        </references>
      </pivotArea>
    </format>
    <format dxfId="1622">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1621">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620">
      <pivotArea outline="0" fieldPosition="0">
        <references count="4">
          <reference field="4294967294" count="1" selected="0">
            <x v="20"/>
          </reference>
          <reference field="0" count="1" selected="0">
            <x v="7"/>
          </reference>
          <reference field="4" count="1" selected="0">
            <x v="4"/>
          </reference>
          <reference field="70" count="1" selected="0">
            <x v="0"/>
          </reference>
        </references>
      </pivotArea>
    </format>
    <format dxfId="1619">
      <pivotArea outline="0" fieldPosition="0">
        <references count="4">
          <reference field="4294967294" count="1" selected="0">
            <x v="23"/>
          </reference>
          <reference field="0" count="1" selected="0">
            <x v="7"/>
          </reference>
          <reference field="4" count="1" selected="0">
            <x v="4"/>
          </reference>
          <reference field="70" count="1" selected="0">
            <x v="0"/>
          </reference>
        </references>
      </pivotArea>
    </format>
    <format dxfId="1618">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1617">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616">
      <pivotArea outline="0" fieldPosition="0">
        <references count="4">
          <reference field="4294967294" count="1" selected="0">
            <x v="4"/>
          </reference>
          <reference field="0" count="1" selected="0">
            <x v="8"/>
          </reference>
          <reference field="4" count="1" selected="0">
            <x v="4"/>
          </reference>
          <reference field="70" count="1" selected="0">
            <x v="0"/>
          </reference>
        </references>
      </pivotArea>
    </format>
    <format dxfId="1615">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614">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1613">
      <pivotArea outline="0" fieldPosition="0">
        <references count="4">
          <reference field="4294967294" count="1" selected="0">
            <x v="10"/>
          </reference>
          <reference field="0" count="1" selected="0">
            <x v="9"/>
          </reference>
          <reference field="4" count="1" selected="0">
            <x v="3"/>
          </reference>
          <reference field="70" count="1" selected="0">
            <x v="0"/>
          </reference>
        </references>
      </pivotArea>
    </format>
    <format dxfId="1612">
      <pivotArea outline="0" fieldPosition="0">
        <references count="4">
          <reference field="4294967294" count="1" selected="0">
            <x v="20"/>
          </reference>
          <reference field="0" count="1" selected="0">
            <x v="9"/>
          </reference>
          <reference field="4" count="1" selected="0">
            <x v="5"/>
          </reference>
          <reference field="70" count="1" selected="0">
            <x v="0"/>
          </reference>
        </references>
      </pivotArea>
    </format>
    <format dxfId="1611">
      <pivotArea outline="0" fieldPosition="0">
        <references count="4">
          <reference field="4294967294" count="1" selected="0">
            <x v="23"/>
          </reference>
          <reference field="0" count="1" selected="0">
            <x v="9"/>
          </reference>
          <reference field="4" count="1" selected="0">
            <x v="5"/>
          </reference>
          <reference field="70" count="1" selected="0">
            <x v="0"/>
          </reference>
        </references>
      </pivotArea>
    </format>
    <format dxfId="1610">
      <pivotArea outline="0" fieldPosition="0">
        <references count="4">
          <reference field="4294967294" count="1" selected="0">
            <x v="26"/>
          </reference>
          <reference field="0" count="1" selected="0">
            <x v="9"/>
          </reference>
          <reference field="4" count="1" selected="0">
            <x v="5"/>
          </reference>
          <reference field="70" count="1" selected="0">
            <x v="0"/>
          </reference>
        </references>
      </pivotArea>
    </format>
    <format dxfId="1609">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608">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607">
      <pivotArea outline="0" fieldPosition="0">
        <references count="4">
          <reference field="4294967294" count="1" selected="0">
            <x v="22"/>
          </reference>
          <reference field="0" count="1" selected="0">
            <x v="9"/>
          </reference>
          <reference field="4" count="1" selected="0">
            <x v="5"/>
          </reference>
          <reference field="70" count="1" selected="0">
            <x v="0"/>
          </reference>
        </references>
      </pivotArea>
    </format>
    <format dxfId="1606">
      <pivotArea outline="0" fieldPosition="0">
        <references count="4">
          <reference field="4294967294" count="1" selected="0">
            <x v="13"/>
          </reference>
          <reference field="0" count="1" selected="0">
            <x v="10"/>
          </reference>
          <reference field="4" count="1" selected="0">
            <x v="3"/>
          </reference>
          <reference field="70" count="1" selected="0">
            <x v="0"/>
          </reference>
        </references>
      </pivotArea>
    </format>
    <format dxfId="1605">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604">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603">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602">
      <pivotArea outline="0" fieldPosition="0">
        <references count="4">
          <reference field="4294967294" count="1" selected="0">
            <x v="29"/>
          </reference>
          <reference field="0" count="1" selected="0">
            <x v="10"/>
          </reference>
          <reference field="4" count="1" selected="0">
            <x v="0"/>
          </reference>
          <reference field="70" count="1" selected="0">
            <x v="0"/>
          </reference>
        </references>
      </pivotArea>
    </format>
    <format dxfId="1601">
      <pivotArea outline="0" fieldPosition="0">
        <references count="4">
          <reference field="4294967294" count="1" selected="0">
            <x v="26"/>
          </reference>
          <reference field="0" count="1" selected="0">
            <x v="10"/>
          </reference>
          <reference field="4" count="1" selected="0">
            <x v="4"/>
          </reference>
          <reference field="70" count="1" selected="0">
            <x v="0"/>
          </reference>
        </references>
      </pivotArea>
    </format>
    <format dxfId="1600">
      <pivotArea outline="0" fieldPosition="0">
        <references count="4">
          <reference field="4294967294" count="1" selected="0">
            <x v="2"/>
          </reference>
          <reference field="0" count="1" selected="0">
            <x v="11"/>
          </reference>
          <reference field="4" count="1" selected="0">
            <x v="0"/>
          </reference>
          <reference field="70" count="1" selected="0">
            <x v="0"/>
          </reference>
        </references>
      </pivotArea>
    </format>
    <format dxfId="1599">
      <pivotArea outline="0" fieldPosition="0">
        <references count="4">
          <reference field="4294967294" count="1" selected="0">
            <x v="2"/>
          </reference>
          <reference field="0" count="1" selected="0">
            <x v="11"/>
          </reference>
          <reference field="4" count="1" selected="0">
            <x v="8"/>
          </reference>
          <reference field="70" count="1" selected="0">
            <x v="1"/>
          </reference>
        </references>
      </pivotArea>
    </format>
    <format dxfId="1598">
      <pivotArea outline="0" fieldPosition="0">
        <references count="4">
          <reference field="4294967294" count="1" selected="0">
            <x v="2"/>
          </reference>
          <reference field="0" count="1" selected="0">
            <x v="11"/>
          </reference>
          <reference field="4" count="2" selected="0">
            <x v="9"/>
            <x v="10"/>
          </reference>
          <reference field="70" count="1" selected="0">
            <x v="1"/>
          </reference>
        </references>
      </pivotArea>
    </format>
    <format dxfId="1597">
      <pivotArea outline="0" fieldPosition="0">
        <references count="4">
          <reference field="4294967294" count="1" selected="0">
            <x v="8"/>
          </reference>
          <reference field="0" count="1" selected="0">
            <x v="11"/>
          </reference>
          <reference field="4" count="1" selected="0">
            <x v="8"/>
          </reference>
          <reference field="70" count="1" selected="0">
            <x v="1"/>
          </reference>
        </references>
      </pivotArea>
    </format>
    <format dxfId="1596">
      <pivotArea outline="0" fieldPosition="0">
        <references count="4">
          <reference field="4294967294" count="1" selected="0">
            <x v="20"/>
          </reference>
          <reference field="0" count="1" selected="0">
            <x v="11"/>
          </reference>
          <reference field="4" count="1" selected="0">
            <x v="2"/>
          </reference>
          <reference field="70" count="1" selected="0">
            <x v="0"/>
          </reference>
        </references>
      </pivotArea>
    </format>
    <format dxfId="1595">
      <pivotArea outline="0" fieldPosition="0">
        <references count="4">
          <reference field="4294967294" count="1" selected="0">
            <x v="23"/>
          </reference>
          <reference field="0" count="1" selected="0">
            <x v="11"/>
          </reference>
          <reference field="4" count="1" selected="0">
            <x v="2"/>
          </reference>
          <reference field="70" count="1" selected="0">
            <x v="0"/>
          </reference>
        </references>
      </pivotArea>
    </format>
    <format dxfId="1594">
      <pivotArea outline="0" fieldPosition="0">
        <references count="4">
          <reference field="4294967294" count="1" selected="0">
            <x v="23"/>
          </reference>
          <reference field="0" count="1" selected="0">
            <x v="11"/>
          </reference>
          <reference field="4" count="1" selected="0">
            <x v="4"/>
          </reference>
          <reference field="70" count="1" selected="0">
            <x v="0"/>
          </reference>
        </references>
      </pivotArea>
    </format>
    <format dxfId="1593">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592">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1591">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590">
      <pivotArea outline="0" fieldPosition="0">
        <references count="4">
          <reference field="4294967294" count="1" selected="0">
            <x v="20"/>
          </reference>
          <reference field="0" count="1" selected="0">
            <x v="12"/>
          </reference>
          <reference field="4" count="1" selected="0">
            <x v="4"/>
          </reference>
          <reference field="70" count="1" selected="0">
            <x v="0"/>
          </reference>
        </references>
      </pivotArea>
    </format>
    <format dxfId="1589">
      <pivotArea outline="0" fieldPosition="0">
        <references count="4">
          <reference field="4294967294" count="1" selected="0">
            <x v="26"/>
          </reference>
          <reference field="0" count="1" selected="0">
            <x v="12"/>
          </reference>
          <reference field="4" count="1" selected="0">
            <x v="4"/>
          </reference>
          <reference field="70" count="1" selected="0">
            <x v="0"/>
          </reference>
        </references>
      </pivotArea>
    </format>
    <format dxfId="1588">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587">
      <pivotArea outline="0" fieldPosition="0">
        <references count="4">
          <reference field="4294967294" count="1" selected="0">
            <x v="20"/>
          </reference>
          <reference field="0" count="1" selected="0">
            <x v="13"/>
          </reference>
          <reference field="4" count="1" selected="0">
            <x v="4"/>
          </reference>
          <reference field="70" count="1" selected="0">
            <x v="0"/>
          </reference>
        </references>
      </pivotArea>
    </format>
    <format dxfId="1586">
      <pivotArea outline="0" fieldPosition="0">
        <references count="4">
          <reference field="4294967294" count="1" selected="0">
            <x v="26"/>
          </reference>
          <reference field="0" count="1" selected="0">
            <x v="13"/>
          </reference>
          <reference field="4" count="1" selected="0">
            <x v="4"/>
          </reference>
          <reference field="70" count="1" selected="0">
            <x v="0"/>
          </reference>
        </references>
      </pivotArea>
    </format>
    <format dxfId="1585">
      <pivotArea outline="0" fieldPosition="0">
        <references count="4">
          <reference field="4294967294" count="1" selected="0">
            <x v="28"/>
          </reference>
          <reference field="0" count="1" selected="0">
            <x v="13"/>
          </reference>
          <reference field="4" count="1" selected="0">
            <x v="5"/>
          </reference>
          <reference field="70" count="1" selected="0">
            <x v="0"/>
          </reference>
        </references>
      </pivotArea>
    </format>
    <format dxfId="1584">
      <pivotArea outline="0" fieldPosition="0">
        <references count="4">
          <reference field="4294967294" count="1" selected="0">
            <x v="31"/>
          </reference>
          <reference field="0" count="1" selected="0">
            <x v="13"/>
          </reference>
          <reference field="4" count="1" selected="0">
            <x v="4"/>
          </reference>
          <reference field="70" count="1" selected="0">
            <x v="0"/>
          </reference>
        </references>
      </pivotArea>
    </format>
    <format dxfId="1583">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1582">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1581">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580">
      <pivotArea outline="0" fieldPosition="0">
        <references count="4">
          <reference field="4294967294" count="1" selected="0">
            <x v="26"/>
          </reference>
          <reference field="0" count="1" selected="0">
            <x v="14"/>
          </reference>
          <reference field="4" count="1" selected="0">
            <x v="2"/>
          </reference>
          <reference field="70" count="1" selected="0">
            <x v="0"/>
          </reference>
        </references>
      </pivotArea>
    </format>
    <format dxfId="1579">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578">
      <pivotArea outline="0" fieldPosition="0">
        <references count="4">
          <reference field="4294967294" count="1" selected="0">
            <x v="2"/>
          </reference>
          <reference field="0" count="1" selected="0">
            <x v="15"/>
          </reference>
          <reference field="4" count="1" selected="0">
            <x v="7"/>
          </reference>
          <reference field="70" count="1" selected="0">
            <x v="1"/>
          </reference>
        </references>
      </pivotArea>
    </format>
    <format dxfId="1577">
      <pivotArea outline="0" fieldPosition="0">
        <references count="4">
          <reference field="4294967294" count="1" selected="0">
            <x v="8"/>
          </reference>
          <reference field="0" count="1" selected="0">
            <x v="15"/>
          </reference>
          <reference field="4" count="1" selected="0">
            <x v="7"/>
          </reference>
          <reference field="70" count="1" selected="0">
            <x v="1"/>
          </reference>
        </references>
      </pivotArea>
    </format>
    <format dxfId="1576">
      <pivotArea outline="0" fieldPosition="0">
        <references count="4">
          <reference field="4294967294" count="1" selected="0">
            <x v="23"/>
          </reference>
          <reference field="0" count="1" selected="0">
            <x v="15"/>
          </reference>
          <reference field="4" count="1" selected="0">
            <x v="2"/>
          </reference>
          <reference field="70" count="1" selected="0">
            <x v="0"/>
          </reference>
        </references>
      </pivotArea>
    </format>
    <format dxfId="1575">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574">
      <pivotArea outline="0" fieldPosition="0">
        <references count="4">
          <reference field="4294967294" count="1" selected="0">
            <x v="20"/>
          </reference>
          <reference field="0" count="1" selected="0">
            <x v="15"/>
          </reference>
          <reference field="4" count="1" selected="0">
            <x v="4"/>
          </reference>
          <reference field="70" count="1" selected="0">
            <x v="0"/>
          </reference>
        </references>
      </pivotArea>
    </format>
    <format dxfId="1573">
      <pivotArea outline="0" fieldPosition="0">
        <references count="4">
          <reference field="4294967294" count="1" selected="0">
            <x v="26"/>
          </reference>
          <reference field="0" count="1" selected="0">
            <x v="15"/>
          </reference>
          <reference field="4" count="1" selected="0">
            <x v="4"/>
          </reference>
          <reference field="70" count="1" selected="0">
            <x v="0"/>
          </reference>
        </references>
      </pivotArea>
    </format>
    <format dxfId="1572">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571">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570">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569">
      <pivotArea outline="0" fieldPosition="0">
        <references count="4">
          <reference field="4294967294" count="7" selected="0">
            <x v="20"/>
            <x v="21"/>
            <x v="22"/>
            <x v="23"/>
            <x v="24"/>
            <x v="25"/>
            <x v="26"/>
          </reference>
          <reference field="0" count="1" selected="0">
            <x v="2"/>
          </reference>
          <reference field="4" count="1" selected="0">
            <x v="2"/>
          </reference>
          <reference field="70" count="1" selected="0">
            <x v="0"/>
          </reference>
        </references>
      </pivotArea>
    </format>
    <format dxfId="1568">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567">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1566">
      <pivotArea outline="0" fieldPosition="0">
        <references count="4">
          <reference field="4294967294" count="1" selected="0">
            <x v="2"/>
          </reference>
          <reference field="0" count="1" selected="0">
            <x v="0"/>
          </reference>
          <reference field="4" count="1" selected="0">
            <x v="12"/>
          </reference>
          <reference field="70" count="1" selected="0">
            <x v="2"/>
          </reference>
        </references>
      </pivotArea>
    </format>
    <format dxfId="1565">
      <pivotArea outline="0" fieldPosition="0">
        <references count="4">
          <reference field="4294967294" count="2" selected="0">
            <x v="7"/>
            <x v="8"/>
          </reference>
          <reference field="0" count="1" selected="0">
            <x v="0"/>
          </reference>
          <reference field="4" count="1" selected="0">
            <x v="12"/>
          </reference>
          <reference field="70" count="1" selected="0">
            <x v="2"/>
          </reference>
        </references>
      </pivotArea>
    </format>
    <format dxfId="1564">
      <pivotArea outline="0" fieldPosition="0">
        <references count="4">
          <reference field="4294967294" count="1" selected="0">
            <x v="10"/>
          </reference>
          <reference field="0" count="1" selected="0">
            <x v="0"/>
          </reference>
          <reference field="4" count="1" selected="0">
            <x v="0"/>
          </reference>
          <reference field="70" count="1" selected="0">
            <x v="0"/>
          </reference>
        </references>
      </pivotArea>
    </format>
    <format dxfId="1563">
      <pivotArea outline="0" fieldPosition="0">
        <references count="4">
          <reference field="4294967294" count="1" selected="0">
            <x v="13"/>
          </reference>
          <reference field="0" count="1" selected="0">
            <x v="0"/>
          </reference>
          <reference field="4" count="1" selected="0">
            <x v="10"/>
          </reference>
          <reference field="70" count="1" selected="0">
            <x v="1"/>
          </reference>
        </references>
      </pivotArea>
    </format>
    <format dxfId="1562">
      <pivotArea outline="0" fieldPosition="0">
        <references count="4">
          <reference field="4294967294" count="2" selected="0">
            <x v="22"/>
            <x v="23"/>
          </reference>
          <reference field="0" count="1" selected="0">
            <x v="0"/>
          </reference>
          <reference field="4" count="1" selected="0">
            <x v="3"/>
          </reference>
          <reference field="70" count="1" selected="0">
            <x v="0"/>
          </reference>
        </references>
      </pivotArea>
    </format>
    <format dxfId="1561">
      <pivotArea outline="0" fieldPosition="0">
        <references count="4">
          <reference field="4294967294" count="2" selected="0">
            <x v="22"/>
            <x v="23"/>
          </reference>
          <reference field="0" count="1" selected="0">
            <x v="0"/>
          </reference>
          <reference field="4" count="1" selected="0">
            <x v="4"/>
          </reference>
          <reference field="70" count="1" selected="0">
            <x v="0"/>
          </reference>
        </references>
      </pivotArea>
    </format>
    <format dxfId="1560">
      <pivotArea outline="0" fieldPosition="0">
        <references count="4">
          <reference field="4294967294" count="1" selected="0">
            <x v="2"/>
          </reference>
          <reference field="0" count="1" selected="0">
            <x v="1"/>
          </reference>
          <reference field="4" count="1" selected="0">
            <x v="9"/>
          </reference>
          <reference field="70" count="1" selected="0">
            <x v="1"/>
          </reference>
        </references>
      </pivotArea>
    </format>
    <format dxfId="1559">
      <pivotArea outline="0" fieldPosition="0">
        <references count="4">
          <reference field="4294967294" count="2" selected="0">
            <x v="10"/>
            <x v="11"/>
          </reference>
          <reference field="0" count="1" selected="0">
            <x v="1"/>
          </reference>
          <reference field="4" count="1" selected="0">
            <x v="4"/>
          </reference>
          <reference field="70" count="1" selected="0">
            <x v="0"/>
          </reference>
        </references>
      </pivotArea>
    </format>
    <format dxfId="1558">
      <pivotArea outline="0" fieldPosition="0">
        <references count="4">
          <reference field="4294967294" count="2" selected="0">
            <x v="10"/>
            <x v="11"/>
          </reference>
          <reference field="0" count="1" selected="0">
            <x v="1"/>
          </reference>
          <reference field="4" count="1" selected="0">
            <x v="5"/>
          </reference>
          <reference field="70" count="1" selected="0">
            <x v="0"/>
          </reference>
        </references>
      </pivotArea>
    </format>
    <format dxfId="1557">
      <pivotArea outline="0" fieldPosition="0">
        <references count="4">
          <reference field="4294967294" count="1" selected="0">
            <x v="23"/>
          </reference>
          <reference field="0" count="1" selected="0">
            <x v="1"/>
          </reference>
          <reference field="4" count="1" selected="0">
            <x v="3"/>
          </reference>
          <reference field="70" count="1" selected="0">
            <x v="0"/>
          </reference>
        </references>
      </pivotArea>
    </format>
    <format dxfId="1556">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1555">
      <pivotArea outline="0" fieldPosition="0">
        <references count="4">
          <reference field="4294967294" count="1" selected="0">
            <x v="28"/>
          </reference>
          <reference field="0" count="1" selected="0">
            <x v="1"/>
          </reference>
          <reference field="4" count="1" selected="0">
            <x v="3"/>
          </reference>
          <reference field="70" count="1" selected="0">
            <x v="0"/>
          </reference>
        </references>
      </pivotArea>
    </format>
    <format dxfId="1554">
      <pivotArea outline="0" fieldPosition="0">
        <references count="4">
          <reference field="4294967294" count="2" selected="0">
            <x v="4"/>
            <x v="5"/>
          </reference>
          <reference field="0" count="1" selected="0">
            <x v="3"/>
          </reference>
          <reference field="4" count="1" selected="0">
            <x v="3"/>
          </reference>
          <reference field="70" count="1" selected="0">
            <x v="0"/>
          </reference>
        </references>
      </pivotArea>
    </format>
    <format dxfId="1553">
      <pivotArea outline="0" fieldPosition="0">
        <references count="4">
          <reference field="4294967294" count="1" selected="0">
            <x v="8"/>
          </reference>
          <reference field="0" count="1" selected="0">
            <x v="3"/>
          </reference>
          <reference field="4" count="1" selected="0">
            <x v="3"/>
          </reference>
          <reference field="70" count="1" selected="0">
            <x v="0"/>
          </reference>
        </references>
      </pivotArea>
    </format>
    <format dxfId="1552">
      <pivotArea outline="0" fieldPosition="0">
        <references count="4">
          <reference field="4294967294" count="2" selected="0">
            <x v="10"/>
            <x v="11"/>
          </reference>
          <reference field="0" count="1" selected="0">
            <x v="3"/>
          </reference>
          <reference field="4" count="1" selected="0">
            <x v="2"/>
          </reference>
          <reference field="70" count="1" selected="0">
            <x v="0"/>
          </reference>
        </references>
      </pivotArea>
    </format>
    <format dxfId="1551">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1550">
      <pivotArea outline="0" fieldPosition="0">
        <references count="4">
          <reference field="4294967294" count="1" selected="0">
            <x v="26"/>
          </reference>
          <reference field="0" count="1" selected="0">
            <x v="3"/>
          </reference>
          <reference field="4" count="1" selected="0">
            <x v="2"/>
          </reference>
          <reference field="70" count="1" selected="0">
            <x v="0"/>
          </reference>
        </references>
      </pivotArea>
    </format>
    <format dxfId="1549">
      <pivotArea outline="0" fieldPosition="0">
        <references count="4">
          <reference field="4294967294" count="1" selected="0">
            <x v="26"/>
          </reference>
          <reference field="0" count="1" selected="0">
            <x v="3"/>
          </reference>
          <reference field="4" count="1" selected="0">
            <x v="3"/>
          </reference>
          <reference field="70" count="1" selected="0">
            <x v="0"/>
          </reference>
        </references>
      </pivotArea>
    </format>
    <format dxfId="1548">
      <pivotArea outline="0" fieldPosition="0">
        <references count="4">
          <reference field="4294967294" count="2" selected="0">
            <x v="28"/>
            <x v="29"/>
          </reference>
          <reference field="0" count="1" selected="0">
            <x v="3"/>
          </reference>
          <reference field="4" count="1" selected="0">
            <x v="2"/>
          </reference>
          <reference field="70" count="1" selected="0">
            <x v="0"/>
          </reference>
        </references>
      </pivotArea>
    </format>
    <format dxfId="1547">
      <pivotArea outline="0" fieldPosition="0">
        <references count="4">
          <reference field="4294967294" count="1" selected="0">
            <x v="10"/>
          </reference>
          <reference field="0" count="1" selected="0">
            <x v="4"/>
          </reference>
          <reference field="4" count="1" selected="0">
            <x v="5"/>
          </reference>
          <reference field="70" count="1" selected="0">
            <x v="0"/>
          </reference>
        </references>
      </pivotArea>
    </format>
    <format dxfId="1546">
      <pivotArea outline="0" fieldPosition="0">
        <references count="4">
          <reference field="4294967294" count="1" selected="0">
            <x v="8"/>
          </reference>
          <reference field="0" count="1" selected="0">
            <x v="4"/>
          </reference>
          <reference field="4" count="2" selected="0">
            <x v="7"/>
            <x v="8"/>
          </reference>
          <reference field="70" count="1" selected="0">
            <x v="1"/>
          </reference>
        </references>
      </pivotArea>
    </format>
    <format dxfId="1545">
      <pivotArea outline="0" fieldPosition="0">
        <references count="4">
          <reference field="4294967294" count="2" selected="0">
            <x v="13"/>
            <x v="14"/>
          </reference>
          <reference field="0" count="1" selected="0">
            <x v="4"/>
          </reference>
          <reference field="4" count="1" selected="0">
            <x v="8"/>
          </reference>
          <reference field="70" count="1" selected="0">
            <x v="1"/>
          </reference>
        </references>
      </pivotArea>
    </format>
    <format dxfId="1544">
      <pivotArea outline="0" fieldPosition="0">
        <references count="4">
          <reference field="4294967294" count="2" selected="0">
            <x v="10"/>
            <x v="11"/>
          </reference>
          <reference field="0" count="1" selected="0">
            <x v="4"/>
          </reference>
          <reference field="4" count="1" selected="0">
            <x v="9"/>
          </reference>
          <reference field="70" count="1" selected="0">
            <x v="1"/>
          </reference>
        </references>
      </pivotArea>
    </format>
    <format dxfId="1543">
      <pivotArea outline="0" fieldPosition="0">
        <references count="4">
          <reference field="4294967294" count="1" selected="0">
            <x v="20"/>
          </reference>
          <reference field="0" count="1" selected="0">
            <x v="4"/>
          </reference>
          <reference field="4" count="1" selected="0">
            <x v="1"/>
          </reference>
          <reference field="70" count="1" selected="0">
            <x v="0"/>
          </reference>
        </references>
      </pivotArea>
    </format>
    <format dxfId="1542">
      <pivotArea outline="0" fieldPosition="0">
        <references count="4">
          <reference field="4294967294" count="1" selected="0">
            <x v="26"/>
          </reference>
          <reference field="0" count="1" selected="0">
            <x v="4"/>
          </reference>
          <reference field="4" count="1" selected="0">
            <x v="1"/>
          </reference>
          <reference field="70" count="1" selected="0">
            <x v="0"/>
          </reference>
        </references>
      </pivotArea>
    </format>
    <format dxfId="1541">
      <pivotArea outline="0" fieldPosition="0">
        <references count="4">
          <reference field="4294967294" count="1" selected="0">
            <x v="23"/>
          </reference>
          <reference field="0" count="1" selected="0">
            <x v="4"/>
          </reference>
          <reference field="4" count="1" selected="0">
            <x v="4"/>
          </reference>
          <reference field="70" count="1" selected="0">
            <x v="0"/>
          </reference>
        </references>
      </pivotArea>
    </format>
    <format dxfId="1540">
      <pivotArea outline="0" fieldPosition="0">
        <references count="4">
          <reference field="4294967294" count="1" selected="0">
            <x v="26"/>
          </reference>
          <reference field="0" count="1" selected="0">
            <x v="4"/>
          </reference>
          <reference field="4" count="1" selected="0">
            <x v="4"/>
          </reference>
          <reference field="70" count="1" selected="0">
            <x v="0"/>
          </reference>
        </references>
      </pivotArea>
    </format>
    <format dxfId="1539">
      <pivotArea outline="0" fieldPosition="0">
        <references count="4">
          <reference field="4294967294" count="1" selected="0">
            <x v="2"/>
          </reference>
          <reference field="0" count="1" selected="0">
            <x v="5"/>
          </reference>
          <reference field="4" count="3" selected="0">
            <x v="8"/>
            <x v="9"/>
            <x v="10"/>
          </reference>
          <reference field="70" count="1" selected="0">
            <x v="1"/>
          </reference>
        </references>
      </pivotArea>
    </format>
    <format dxfId="1538">
      <pivotArea outline="0" fieldPosition="0">
        <references count="4">
          <reference field="4294967294" count="1" selected="0">
            <x v="5"/>
          </reference>
          <reference field="0" count="1" selected="0">
            <x v="5"/>
          </reference>
          <reference field="4" count="3" selected="0">
            <x v="8"/>
            <x v="9"/>
            <x v="10"/>
          </reference>
          <reference field="70" count="1" selected="0">
            <x v="1"/>
          </reference>
        </references>
      </pivotArea>
    </format>
    <format dxfId="1537">
      <pivotArea outline="0" fieldPosition="0">
        <references count="4">
          <reference field="4294967294" count="1" selected="0">
            <x v="8"/>
          </reference>
          <reference field="0" count="1" selected="0">
            <x v="5"/>
          </reference>
          <reference field="4" count="3" selected="0">
            <x v="8"/>
            <x v="9"/>
            <x v="10"/>
          </reference>
          <reference field="70" count="1" selected="0">
            <x v="1"/>
          </reference>
        </references>
      </pivotArea>
    </format>
    <format dxfId="1536">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1535">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534">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1533">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1532">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531">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530">
      <pivotArea outline="0" fieldPosition="0">
        <references count="4">
          <reference field="4294967294" count="1" selected="0">
            <x v="26"/>
          </reference>
          <reference field="0" count="1" selected="0">
            <x v="7"/>
          </reference>
          <reference field="4" count="1" selected="0">
            <x v="2"/>
          </reference>
          <reference field="70" count="1" selected="0">
            <x v="0"/>
          </reference>
        </references>
      </pivotArea>
    </format>
    <format dxfId="1529">
      <pivotArea outline="0" fieldPosition="0">
        <references count="4">
          <reference field="4294967294" count="1" selected="0">
            <x v="20"/>
          </reference>
          <reference field="0" count="1" selected="0">
            <x v="8"/>
          </reference>
          <reference field="4" count="2" selected="0">
            <x v="3"/>
            <x v="4"/>
          </reference>
          <reference field="70" count="1" selected="0">
            <x v="0"/>
          </reference>
        </references>
      </pivotArea>
    </format>
    <format dxfId="1528">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527">
      <pivotArea outline="0" fieldPosition="0">
        <references count="4">
          <reference field="4294967294" count="1" selected="0">
            <x v="34"/>
          </reference>
          <reference field="0" count="1" selected="0">
            <x v="8"/>
          </reference>
          <reference field="4" count="1" selected="0">
            <x v="0"/>
          </reference>
          <reference field="70" count="1" selected="0">
            <x v="0"/>
          </reference>
        </references>
      </pivotArea>
    </format>
    <format dxfId="1526">
      <pivotArea outline="0" fieldPosition="0">
        <references count="4">
          <reference field="4294967294" count="1" selected="0">
            <x v="2"/>
          </reference>
          <reference field="0" count="1" selected="0">
            <x v="9"/>
          </reference>
          <reference field="4" count="1" selected="0">
            <x v="3"/>
          </reference>
          <reference field="70" count="1" selected="0">
            <x v="0"/>
          </reference>
        </references>
      </pivotArea>
    </format>
    <format dxfId="1525">
      <pivotArea outline="0" fieldPosition="0">
        <references count="4">
          <reference field="4294967294" count="1" selected="0">
            <x v="8"/>
          </reference>
          <reference field="0" count="1" selected="0">
            <x v="9"/>
          </reference>
          <reference field="4" count="1" selected="0">
            <x v="3"/>
          </reference>
          <reference field="70" count="1" selected="0">
            <x v="0"/>
          </reference>
        </references>
      </pivotArea>
    </format>
    <format dxfId="1524">
      <pivotArea outline="0" fieldPosition="0">
        <references count="4">
          <reference field="4294967294" count="1" selected="0">
            <x v="2"/>
          </reference>
          <reference field="0" count="1" selected="0">
            <x v="9"/>
          </reference>
          <reference field="4" count="1" selected="0">
            <x v="8"/>
          </reference>
          <reference field="70" count="1" selected="0">
            <x v="1"/>
          </reference>
        </references>
      </pivotArea>
    </format>
    <format dxfId="1523">
      <pivotArea outline="0" fieldPosition="0">
        <references count="4">
          <reference field="4294967294" count="1" selected="0">
            <x v="8"/>
          </reference>
          <reference field="0" count="1" selected="0">
            <x v="9"/>
          </reference>
          <reference field="4" count="1" selected="0">
            <x v="8"/>
          </reference>
          <reference field="70" count="1" selected="0">
            <x v="1"/>
          </reference>
        </references>
      </pivotArea>
    </format>
    <format dxfId="1522">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521">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520">
      <pivotArea outline="0" fieldPosition="0">
        <references count="4">
          <reference field="4294967294" count="1" selected="0">
            <x v="2"/>
          </reference>
          <reference field="0" count="1" selected="0">
            <x v="10"/>
          </reference>
          <reference field="4" count="1" selected="0">
            <x v="2"/>
          </reference>
          <reference field="70" count="1" selected="0">
            <x v="0"/>
          </reference>
        </references>
      </pivotArea>
    </format>
    <format dxfId="1519">
      <pivotArea outline="0" fieldPosition="0">
        <references count="4">
          <reference field="4294967294" count="1" selected="0">
            <x v="5"/>
          </reference>
          <reference field="0" count="1" selected="0">
            <x v="10"/>
          </reference>
          <reference field="4" count="1" selected="0">
            <x v="2"/>
          </reference>
          <reference field="70" count="1" selected="0">
            <x v="0"/>
          </reference>
        </references>
      </pivotArea>
    </format>
    <format dxfId="1518">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517">
      <pivotArea outline="0" fieldPosition="0">
        <references count="4">
          <reference field="4294967294" count="1" selected="0">
            <x v="20"/>
          </reference>
          <reference field="0" count="1" selected="0">
            <x v="10"/>
          </reference>
          <reference field="4" count="1" selected="0">
            <x v="2"/>
          </reference>
          <reference field="70" count="1" selected="0">
            <x v="0"/>
          </reference>
        </references>
      </pivotArea>
    </format>
    <format dxfId="1516">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1515">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514">
      <pivotArea outline="0" fieldPosition="0">
        <references count="4">
          <reference field="4294967294" count="1" selected="0">
            <x v="23"/>
          </reference>
          <reference field="0" count="1" selected="0">
            <x v="10"/>
          </reference>
          <reference field="4" count="1" selected="0">
            <x v="2"/>
          </reference>
          <reference field="70" count="1" selected="0">
            <x v="0"/>
          </reference>
        </references>
      </pivotArea>
    </format>
    <format dxfId="1513">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512">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1511">
      <pivotArea outline="0" fieldPosition="0">
        <references count="4">
          <reference field="4294967294" count="2" selected="0">
            <x v="10"/>
            <x v="11"/>
          </reference>
          <reference field="0" count="1" selected="0">
            <x v="11"/>
          </reference>
          <reference field="4" count="1" selected="0">
            <x v="0"/>
          </reference>
          <reference field="70" count="1" selected="0">
            <x v="0"/>
          </reference>
        </references>
      </pivotArea>
    </format>
    <format dxfId="1510">
      <pivotArea outline="0" fieldPosition="0">
        <references count="4">
          <reference field="4294967294" count="2" selected="0">
            <x v="10"/>
            <x v="11"/>
          </reference>
          <reference field="0" count="1" selected="0">
            <x v="11"/>
          </reference>
          <reference field="4" count="1" selected="0">
            <x v="5"/>
          </reference>
          <reference field="70" count="1" selected="0">
            <x v="0"/>
          </reference>
        </references>
      </pivotArea>
    </format>
    <format dxfId="1509">
      <pivotArea outline="0" fieldPosition="0">
        <references count="4">
          <reference field="4294967294" count="2" selected="0">
            <x v="13"/>
            <x v="14"/>
          </reference>
          <reference field="0" count="1" selected="0">
            <x v="11"/>
          </reference>
          <reference field="4" count="1" selected="0">
            <x v="0"/>
          </reference>
          <reference field="70" count="1" selected="0">
            <x v="0"/>
          </reference>
        </references>
      </pivotArea>
    </format>
    <format dxfId="1508">
      <pivotArea outline="0" fieldPosition="0">
        <references count="4">
          <reference field="4294967294" count="1" selected="0">
            <x v="2"/>
          </reference>
          <reference field="0" count="1" selected="0">
            <x v="11"/>
          </reference>
          <reference field="4" count="1" selected="0">
            <x v="10"/>
          </reference>
          <reference field="70" count="1" selected="0">
            <x v="1"/>
          </reference>
        </references>
      </pivotArea>
    </format>
    <format dxfId="1507">
      <pivotArea outline="0" fieldPosition="0">
        <references count="4">
          <reference field="4294967294" count="1" selected="0">
            <x v="8"/>
          </reference>
          <reference field="0" count="1" selected="0">
            <x v="11"/>
          </reference>
          <reference field="4" count="1" selected="0">
            <x v="10"/>
          </reference>
          <reference field="70" count="1" selected="0">
            <x v="1"/>
          </reference>
        </references>
      </pivotArea>
    </format>
    <format dxfId="1506">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505">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504">
      <pivotArea outline="0" fieldPosition="0">
        <references count="4">
          <reference field="4294967294" count="2" selected="0">
            <x v="28"/>
            <x v="29"/>
          </reference>
          <reference field="0" count="1" selected="0">
            <x v="11"/>
          </reference>
          <reference field="4" count="1" selected="0">
            <x v="5"/>
          </reference>
          <reference field="70" count="1" selected="0">
            <x v="0"/>
          </reference>
        </references>
      </pivotArea>
    </format>
    <format dxfId="1503">
      <pivotArea outline="0" fieldPosition="0">
        <references count="4">
          <reference field="4294967294" count="1" selected="0">
            <x v="31"/>
          </reference>
          <reference field="0" count="1" selected="0">
            <x v="11"/>
          </reference>
          <reference field="4" count="1" selected="0">
            <x v="5"/>
          </reference>
          <reference field="70" count="1" selected="0">
            <x v="0"/>
          </reference>
        </references>
      </pivotArea>
    </format>
    <format dxfId="1502">
      <pivotArea outline="0" fieldPosition="0">
        <references count="4">
          <reference field="4294967294" count="2" selected="0">
            <x v="10"/>
            <x v="11"/>
          </reference>
          <reference field="0" count="1" selected="0">
            <x v="12"/>
          </reference>
          <reference field="4" count="1" selected="0">
            <x v="9"/>
          </reference>
          <reference field="70" count="1" selected="0">
            <x v="1"/>
          </reference>
        </references>
      </pivotArea>
    </format>
    <format dxfId="1501">
      <pivotArea outline="0" fieldPosition="0">
        <references count="4">
          <reference field="4294967294" count="1" selected="0">
            <x v="22"/>
          </reference>
          <reference field="0" count="1" selected="0">
            <x v="12"/>
          </reference>
          <reference field="4" count="1" selected="0">
            <x v="4"/>
          </reference>
          <reference field="70" count="1" selected="0">
            <x v="0"/>
          </reference>
        </references>
      </pivotArea>
    </format>
    <format dxfId="1500">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499">
      <pivotArea outline="0" fieldPosition="0">
        <references count="4">
          <reference field="4294967294" count="1" selected="0">
            <x v="20"/>
          </reference>
          <reference field="0" count="1" selected="0">
            <x v="13"/>
          </reference>
          <reference field="4" count="3" selected="0">
            <x v="3"/>
            <x v="4"/>
            <x v="5"/>
          </reference>
          <reference field="70" count="1" selected="0">
            <x v="0"/>
          </reference>
        </references>
      </pivotArea>
    </format>
    <format dxfId="1498">
      <pivotArea outline="0" fieldPosition="0">
        <references count="4">
          <reference field="4294967294" count="1" selected="0">
            <x v="23"/>
          </reference>
          <reference field="0" count="1" selected="0">
            <x v="13"/>
          </reference>
          <reference field="4" count="2" selected="0">
            <x v="2"/>
            <x v="3"/>
          </reference>
          <reference field="70" count="1" selected="0">
            <x v="0"/>
          </reference>
        </references>
      </pivotArea>
    </format>
    <format dxfId="1497">
      <pivotArea outline="0" fieldPosition="0">
        <references count="4">
          <reference field="4294967294" count="1" selected="0">
            <x v="26"/>
          </reference>
          <reference field="0" count="1" selected="0">
            <x v="13"/>
          </reference>
          <reference field="4" count="2" selected="0">
            <x v="4"/>
            <x v="5"/>
          </reference>
          <reference field="70" count="1" selected="0">
            <x v="0"/>
          </reference>
        </references>
      </pivotArea>
    </format>
    <format dxfId="1496">
      <pivotArea outline="0" fieldPosition="0">
        <references count="4">
          <reference field="4294967294" count="1" selected="0">
            <x v="26"/>
          </reference>
          <reference field="0" count="1" selected="0">
            <x v="13"/>
          </reference>
          <reference field="4" count="1" selected="0">
            <x v="2"/>
          </reference>
          <reference field="70" count="1" selected="0">
            <x v="0"/>
          </reference>
        </references>
      </pivotArea>
    </format>
    <format dxfId="1495">
      <pivotArea outline="0" fieldPosition="0">
        <references count="4">
          <reference field="4294967294" count="2" selected="0">
            <x v="28"/>
            <x v="29"/>
          </reference>
          <reference field="0" count="1" selected="0">
            <x v="13"/>
          </reference>
          <reference field="4" count="1" selected="0">
            <x v="5"/>
          </reference>
          <reference field="70" count="1" selected="0">
            <x v="0"/>
          </reference>
        </references>
      </pivotArea>
    </format>
    <format dxfId="1494">
      <pivotArea outline="0" fieldPosition="0">
        <references count="4">
          <reference field="4294967294" count="1" selected="0">
            <x v="25"/>
          </reference>
          <reference field="0" count="1" selected="0">
            <x v="14"/>
          </reference>
          <reference field="4" count="1" selected="0">
            <x v="1"/>
          </reference>
          <reference field="70" count="1" selected="0">
            <x v="0"/>
          </reference>
        </references>
      </pivotArea>
    </format>
    <format dxfId="1493">
      <pivotArea outline="0" fieldPosition="0">
        <references count="4">
          <reference field="4294967294" count="1" selected="0">
            <x v="31"/>
          </reference>
          <reference field="0" count="1" selected="0">
            <x v="14"/>
          </reference>
          <reference field="4" count="1" selected="0">
            <x v="0"/>
          </reference>
          <reference field="70" count="1" selected="0">
            <x v="0"/>
          </reference>
        </references>
      </pivotArea>
    </format>
    <format dxfId="1492">
      <pivotArea outline="0" fieldPosition="0">
        <references count="4">
          <reference field="4294967294" count="1" selected="0">
            <x v="2"/>
          </reference>
          <reference field="0" count="1" selected="0">
            <x v="15"/>
          </reference>
          <reference field="4" count="1" selected="0">
            <x v="5"/>
          </reference>
          <reference field="70" count="1" selected="0">
            <x v="0"/>
          </reference>
        </references>
      </pivotArea>
    </format>
    <format dxfId="1491">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490">
      <pivotArea outline="0" fieldPosition="0">
        <references count="4">
          <reference field="4294967294" count="1" selected="0">
            <x v="26"/>
          </reference>
          <reference field="0" count="1" selected="0">
            <x v="15"/>
          </reference>
          <reference field="4" count="1" selected="0">
            <x v="2"/>
          </reference>
          <reference field="70" count="1" selected="0">
            <x v="0"/>
          </reference>
        </references>
      </pivotArea>
    </format>
    <format dxfId="1489">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488">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1487">
      <pivotArea type="all" dataOnly="0" outline="0" fieldPosition="0"/>
    </format>
    <format dxfId="1486">
      <pivotArea outline="0" fieldPosition="0"/>
    </format>
    <format dxfId="1485">
      <pivotArea type="origin" dataOnly="0" labelOnly="1" outline="0" fieldPosition="0"/>
    </format>
    <format dxfId="1484">
      <pivotArea field="70" type="button" dataOnly="0" labelOnly="1" outline="0" axis="axisCol" fieldPosition="0"/>
    </format>
    <format dxfId="1483">
      <pivotArea field="4" type="button" dataOnly="0" labelOnly="1" outline="0" axis="axisCol" fieldPosition="1"/>
    </format>
    <format dxfId="1482">
      <pivotArea type="topRight" dataOnly="0" labelOnly="1" outline="0" fieldPosition="0"/>
    </format>
    <format dxfId="1481">
      <pivotArea field="0" type="button" dataOnly="0" labelOnly="1" outline="0" axis="axisRow" fieldPosition="0"/>
    </format>
    <format dxfId="1480">
      <pivotArea field="-2" type="button" dataOnly="0" labelOnly="1" outline="0" axis="axisRow" fieldPosition="1"/>
    </format>
    <format dxfId="1479">
      <pivotArea dataOnly="0" labelOnly="1" outline="0" fieldPosition="0">
        <references count="1">
          <reference field="0" count="0"/>
        </references>
      </pivotArea>
    </format>
    <format dxfId="1478">
      <pivotArea field="0" dataOnly="0" labelOnly="1" grandRow="1" outline="0" axis="axisRow" fieldPosition="0">
        <references count="1">
          <reference field="4294967294" count="1" selected="0">
            <x v="0"/>
          </reference>
        </references>
      </pivotArea>
    </format>
    <format dxfId="1477">
      <pivotArea field="0" dataOnly="0" labelOnly="1" grandRow="1" outline="0" axis="axisRow" fieldPosition="0">
        <references count="1">
          <reference field="4294967294" count="1" selected="0">
            <x v="1"/>
          </reference>
        </references>
      </pivotArea>
    </format>
    <format dxfId="1476">
      <pivotArea field="0" dataOnly="0" labelOnly="1" grandRow="1" outline="0" axis="axisRow" fieldPosition="0">
        <references count="1">
          <reference field="4294967294" count="1" selected="0">
            <x v="2"/>
          </reference>
        </references>
      </pivotArea>
    </format>
    <format dxfId="1475">
      <pivotArea field="0" dataOnly="0" labelOnly="1" grandRow="1" outline="0" axis="axisRow" fieldPosition="0">
        <references count="1">
          <reference field="4294967294" count="1" selected="0">
            <x v="3"/>
          </reference>
        </references>
      </pivotArea>
    </format>
    <format dxfId="1474">
      <pivotArea field="0" dataOnly="0" labelOnly="1" grandRow="1" outline="0" axis="axisRow" fieldPosition="0">
        <references count="1">
          <reference field="4294967294" count="1" selected="0">
            <x v="4"/>
          </reference>
        </references>
      </pivotArea>
    </format>
    <format dxfId="1473">
      <pivotArea field="0" dataOnly="0" labelOnly="1" grandRow="1" outline="0" axis="axisRow" fieldPosition="0">
        <references count="1">
          <reference field="4294967294" count="1" selected="0">
            <x v="5"/>
          </reference>
        </references>
      </pivotArea>
    </format>
    <format dxfId="1472">
      <pivotArea field="0" dataOnly="0" labelOnly="1" grandRow="1" outline="0" axis="axisRow" fieldPosition="0">
        <references count="1">
          <reference field="4294967294" count="1" selected="0">
            <x v="6"/>
          </reference>
        </references>
      </pivotArea>
    </format>
    <format dxfId="1471">
      <pivotArea field="0" dataOnly="0" labelOnly="1" grandRow="1" outline="0" axis="axisRow" fieldPosition="0">
        <references count="1">
          <reference field="4294967294" count="1" selected="0">
            <x v="7"/>
          </reference>
        </references>
      </pivotArea>
    </format>
    <format dxfId="1470">
      <pivotArea field="0" dataOnly="0" labelOnly="1" grandRow="1" outline="0" axis="axisRow" fieldPosition="0">
        <references count="1">
          <reference field="4294967294" count="1" selected="0">
            <x v="8"/>
          </reference>
        </references>
      </pivotArea>
    </format>
    <format dxfId="1469">
      <pivotArea field="0" dataOnly="0" labelOnly="1" grandRow="1" outline="0" axis="axisRow" fieldPosition="0">
        <references count="1">
          <reference field="4294967294" count="1" selected="0">
            <x v="9"/>
          </reference>
        </references>
      </pivotArea>
    </format>
    <format dxfId="1468">
      <pivotArea field="0" dataOnly="0" labelOnly="1" grandRow="1" outline="0" axis="axisRow" fieldPosition="0">
        <references count="1">
          <reference field="4294967294" count="1" selected="0">
            <x v="10"/>
          </reference>
        </references>
      </pivotArea>
    </format>
    <format dxfId="1467">
      <pivotArea field="0" dataOnly="0" labelOnly="1" grandRow="1" outline="0" axis="axisRow" fieldPosition="0">
        <references count="1">
          <reference field="4294967294" count="1" selected="0">
            <x v="11"/>
          </reference>
        </references>
      </pivotArea>
    </format>
    <format dxfId="1466">
      <pivotArea field="0" dataOnly="0" labelOnly="1" grandRow="1" outline="0" axis="axisRow" fieldPosition="0">
        <references count="1">
          <reference field="4294967294" count="1" selected="0">
            <x v="12"/>
          </reference>
        </references>
      </pivotArea>
    </format>
    <format dxfId="1465">
      <pivotArea field="0" dataOnly="0" labelOnly="1" grandRow="1" outline="0" axis="axisRow" fieldPosition="0">
        <references count="1">
          <reference field="4294967294" count="1" selected="0">
            <x v="13"/>
          </reference>
        </references>
      </pivotArea>
    </format>
    <format dxfId="1464">
      <pivotArea field="0" dataOnly="0" labelOnly="1" grandRow="1" outline="0" axis="axisRow" fieldPosition="0">
        <references count="1">
          <reference field="4294967294" count="1" selected="0">
            <x v="14"/>
          </reference>
        </references>
      </pivotArea>
    </format>
    <format dxfId="1463">
      <pivotArea field="0" dataOnly="0" labelOnly="1" grandRow="1" outline="0" axis="axisRow" fieldPosition="0">
        <references count="1">
          <reference field="4294967294" count="1" selected="0">
            <x v="15"/>
          </reference>
        </references>
      </pivotArea>
    </format>
    <format dxfId="1462">
      <pivotArea field="0" dataOnly="0" labelOnly="1" grandRow="1" outline="0" axis="axisRow" fieldPosition="0">
        <references count="1">
          <reference field="4294967294" count="1" selected="0">
            <x v="16"/>
          </reference>
        </references>
      </pivotArea>
    </format>
    <format dxfId="1461">
      <pivotArea field="0" dataOnly="0" labelOnly="1" grandRow="1" outline="0" axis="axisRow" fieldPosition="0">
        <references count="1">
          <reference field="4294967294" count="1" selected="0">
            <x v="17"/>
          </reference>
        </references>
      </pivotArea>
    </format>
    <format dxfId="1460">
      <pivotArea field="0" dataOnly="0" labelOnly="1" grandRow="1" outline="0" axis="axisRow" fieldPosition="0">
        <references count="1">
          <reference field="4294967294" count="1" selected="0">
            <x v="18"/>
          </reference>
        </references>
      </pivotArea>
    </format>
    <format dxfId="1459">
      <pivotArea field="0" dataOnly="0" labelOnly="1" grandRow="1" outline="0" axis="axisRow" fieldPosition="0">
        <references count="1">
          <reference field="4294967294" count="1" selected="0">
            <x v="19"/>
          </reference>
        </references>
      </pivotArea>
    </format>
    <format dxfId="1458">
      <pivotArea field="0" dataOnly="0" labelOnly="1" grandRow="1" outline="0" axis="axisRow" fieldPosition="0">
        <references count="1">
          <reference field="4294967294" count="1" selected="0">
            <x v="20"/>
          </reference>
        </references>
      </pivotArea>
    </format>
    <format dxfId="1457">
      <pivotArea field="0" dataOnly="0" labelOnly="1" grandRow="1" outline="0" axis="axisRow" fieldPosition="0">
        <references count="1">
          <reference field="4294967294" count="1" selected="0">
            <x v="21"/>
          </reference>
        </references>
      </pivotArea>
    </format>
    <format dxfId="1456">
      <pivotArea field="0" dataOnly="0" labelOnly="1" grandRow="1" outline="0" axis="axisRow" fieldPosition="0">
        <references count="1">
          <reference field="4294967294" count="1" selected="0">
            <x v="22"/>
          </reference>
        </references>
      </pivotArea>
    </format>
    <format dxfId="1455">
      <pivotArea field="0" dataOnly="0" labelOnly="1" grandRow="1" outline="0" axis="axisRow" fieldPosition="0">
        <references count="1">
          <reference field="4294967294" count="1" selected="0">
            <x v="23"/>
          </reference>
        </references>
      </pivotArea>
    </format>
    <format dxfId="1454">
      <pivotArea field="0" dataOnly="0" labelOnly="1" grandRow="1" outline="0" axis="axisRow" fieldPosition="0">
        <references count="1">
          <reference field="4294967294" count="1" selected="0">
            <x v="24"/>
          </reference>
        </references>
      </pivotArea>
    </format>
    <format dxfId="1453">
      <pivotArea field="0" dataOnly="0" labelOnly="1" grandRow="1" outline="0" axis="axisRow" fieldPosition="0">
        <references count="1">
          <reference field="4294967294" count="1" selected="0">
            <x v="25"/>
          </reference>
        </references>
      </pivotArea>
    </format>
    <format dxfId="1452">
      <pivotArea field="0" dataOnly="0" labelOnly="1" grandRow="1" outline="0" axis="axisRow" fieldPosition="0">
        <references count="1">
          <reference field="4294967294" count="1" selected="0">
            <x v="26"/>
          </reference>
        </references>
      </pivotArea>
    </format>
    <format dxfId="1451">
      <pivotArea field="0" dataOnly="0" labelOnly="1" grandRow="1" outline="0" axis="axisRow" fieldPosition="0">
        <references count="1">
          <reference field="4294967294" count="1" selected="0">
            <x v="27"/>
          </reference>
        </references>
      </pivotArea>
    </format>
    <format dxfId="1450">
      <pivotArea field="0" dataOnly="0" labelOnly="1" grandRow="1" outline="0" axis="axisRow" fieldPosition="0">
        <references count="1">
          <reference field="4294967294" count="1" selected="0">
            <x v="28"/>
          </reference>
        </references>
      </pivotArea>
    </format>
    <format dxfId="1449">
      <pivotArea field="0" dataOnly="0" labelOnly="1" grandRow="1" outline="0" axis="axisRow" fieldPosition="0">
        <references count="1">
          <reference field="4294967294" count="1" selected="0">
            <x v="29"/>
          </reference>
        </references>
      </pivotArea>
    </format>
    <format dxfId="1448">
      <pivotArea field="0" dataOnly="0" labelOnly="1" grandRow="1" outline="0" axis="axisRow" fieldPosition="0">
        <references count="1">
          <reference field="4294967294" count="1" selected="0">
            <x v="30"/>
          </reference>
        </references>
      </pivotArea>
    </format>
    <format dxfId="1447">
      <pivotArea field="0" dataOnly="0" labelOnly="1" grandRow="1" outline="0" axis="axisRow" fieldPosition="0">
        <references count="1">
          <reference field="4294967294" count="1" selected="0">
            <x v="31"/>
          </reference>
        </references>
      </pivotArea>
    </format>
    <format dxfId="1446">
      <pivotArea field="0" dataOnly="0" labelOnly="1" grandRow="1" outline="0" axis="axisRow" fieldPosition="0">
        <references count="1">
          <reference field="4294967294" count="1" selected="0">
            <x v="32"/>
          </reference>
        </references>
      </pivotArea>
    </format>
    <format dxfId="1445">
      <pivotArea field="0" dataOnly="0" labelOnly="1" grandRow="1" outline="0" axis="axisRow" fieldPosition="0">
        <references count="1">
          <reference field="4294967294" count="1" selected="0">
            <x v="33"/>
          </reference>
        </references>
      </pivotArea>
    </format>
    <format dxfId="1444">
      <pivotArea field="0" dataOnly="0" labelOnly="1" grandRow="1" outline="0" axis="axisRow" fieldPosition="0">
        <references count="1">
          <reference field="4294967294" count="1" selected="0">
            <x v="34"/>
          </reference>
        </references>
      </pivotArea>
    </format>
    <format dxfId="1443">
      <pivotArea field="0" dataOnly="0" labelOnly="1" grandRow="1" outline="0" axis="axisRow" fieldPosition="0">
        <references count="1">
          <reference field="4294967294" count="1" selected="0">
            <x v="0"/>
          </reference>
        </references>
      </pivotArea>
    </format>
    <format dxfId="1442">
      <pivotArea field="0" dataOnly="0" labelOnly="1" grandRow="1" outline="0" axis="axisRow" fieldPosition="0">
        <references count="1">
          <reference field="4294967294" count="1" selected="0">
            <x v="1"/>
          </reference>
        </references>
      </pivotArea>
    </format>
    <format dxfId="1441">
      <pivotArea field="0" dataOnly="0" labelOnly="1" grandRow="1" outline="0" axis="axisRow" fieldPosition="0">
        <references count="1">
          <reference field="4294967294" count="1" selected="0">
            <x v="2"/>
          </reference>
        </references>
      </pivotArea>
    </format>
    <format dxfId="1440">
      <pivotArea field="0" dataOnly="0" labelOnly="1" grandRow="1" outline="0" axis="axisRow" fieldPosition="0">
        <references count="1">
          <reference field="4294967294" count="1" selected="0">
            <x v="3"/>
          </reference>
        </references>
      </pivotArea>
    </format>
    <format dxfId="1439">
      <pivotArea field="0" dataOnly="0" labelOnly="1" grandRow="1" outline="0" axis="axisRow" fieldPosition="0">
        <references count="1">
          <reference field="4294967294" count="1" selected="0">
            <x v="4"/>
          </reference>
        </references>
      </pivotArea>
    </format>
    <format dxfId="1438">
      <pivotArea field="0" dataOnly="0" labelOnly="1" grandRow="1" outline="0" axis="axisRow" fieldPosition="0">
        <references count="1">
          <reference field="4294967294" count="1" selected="0">
            <x v="5"/>
          </reference>
        </references>
      </pivotArea>
    </format>
    <format dxfId="1437">
      <pivotArea field="0" dataOnly="0" labelOnly="1" grandRow="1" outline="0" axis="axisRow" fieldPosition="0">
        <references count="1">
          <reference field="4294967294" count="1" selected="0">
            <x v="6"/>
          </reference>
        </references>
      </pivotArea>
    </format>
    <format dxfId="1436">
      <pivotArea field="0" dataOnly="0" labelOnly="1" grandRow="1" outline="0" axis="axisRow" fieldPosition="0">
        <references count="1">
          <reference field="4294967294" count="1" selected="0">
            <x v="7"/>
          </reference>
        </references>
      </pivotArea>
    </format>
    <format dxfId="1435">
      <pivotArea field="0" dataOnly="0" labelOnly="1" grandRow="1" outline="0" axis="axisRow" fieldPosition="0">
        <references count="1">
          <reference field="4294967294" count="1" selected="0">
            <x v="8"/>
          </reference>
        </references>
      </pivotArea>
    </format>
    <format dxfId="1434">
      <pivotArea field="0" dataOnly="0" labelOnly="1" grandRow="1" outline="0" axis="axisRow" fieldPosition="0">
        <references count="1">
          <reference field="4294967294" count="1" selected="0">
            <x v="9"/>
          </reference>
        </references>
      </pivotArea>
    </format>
    <format dxfId="1433">
      <pivotArea field="0" dataOnly="0" labelOnly="1" grandRow="1" outline="0" axis="axisRow" fieldPosition="0">
        <references count="1">
          <reference field="4294967294" count="1" selected="0">
            <x v="10"/>
          </reference>
        </references>
      </pivotArea>
    </format>
    <format dxfId="1432">
      <pivotArea field="0" dataOnly="0" labelOnly="1" grandRow="1" outline="0" axis="axisRow" fieldPosition="0">
        <references count="1">
          <reference field="4294967294" count="1" selected="0">
            <x v="11"/>
          </reference>
        </references>
      </pivotArea>
    </format>
    <format dxfId="1431">
      <pivotArea field="0" dataOnly="0" labelOnly="1" grandRow="1" outline="0" axis="axisRow" fieldPosition="0">
        <references count="1">
          <reference field="4294967294" count="1" selected="0">
            <x v="12"/>
          </reference>
        </references>
      </pivotArea>
    </format>
    <format dxfId="1430">
      <pivotArea field="0" dataOnly="0" labelOnly="1" grandRow="1" outline="0" axis="axisRow" fieldPosition="0">
        <references count="1">
          <reference field="4294967294" count="1" selected="0">
            <x v="13"/>
          </reference>
        </references>
      </pivotArea>
    </format>
    <format dxfId="1429">
      <pivotArea field="0" dataOnly="0" labelOnly="1" grandRow="1" outline="0" axis="axisRow" fieldPosition="0">
        <references count="1">
          <reference field="4294967294" count="1" selected="0">
            <x v="14"/>
          </reference>
        </references>
      </pivotArea>
    </format>
    <format dxfId="1428">
      <pivotArea field="0" dataOnly="0" labelOnly="1" grandRow="1" outline="0" axis="axisRow" fieldPosition="0">
        <references count="1">
          <reference field="4294967294" count="1" selected="0">
            <x v="15"/>
          </reference>
        </references>
      </pivotArea>
    </format>
    <format dxfId="1427">
      <pivotArea field="0" dataOnly="0" labelOnly="1" grandRow="1" outline="0" axis="axisRow" fieldPosition="0">
        <references count="1">
          <reference field="4294967294" count="1" selected="0">
            <x v="16"/>
          </reference>
        </references>
      </pivotArea>
    </format>
    <format dxfId="1426">
      <pivotArea field="0" dataOnly="0" labelOnly="1" grandRow="1" outline="0" axis="axisRow" fieldPosition="0">
        <references count="1">
          <reference field="4294967294" count="1" selected="0">
            <x v="17"/>
          </reference>
        </references>
      </pivotArea>
    </format>
    <format dxfId="1425">
      <pivotArea field="0" dataOnly="0" labelOnly="1" grandRow="1" outline="0" axis="axisRow" fieldPosition="0">
        <references count="1">
          <reference field="4294967294" count="1" selected="0">
            <x v="18"/>
          </reference>
        </references>
      </pivotArea>
    </format>
    <format dxfId="1424">
      <pivotArea field="0" dataOnly="0" labelOnly="1" grandRow="1" outline="0" axis="axisRow" fieldPosition="0">
        <references count="1">
          <reference field="4294967294" count="1" selected="0">
            <x v="19"/>
          </reference>
        </references>
      </pivotArea>
    </format>
    <format dxfId="1423">
      <pivotArea field="0" dataOnly="0" labelOnly="1" grandRow="1" outline="0" axis="axisRow" fieldPosition="0">
        <references count="1">
          <reference field="4294967294" count="1" selected="0">
            <x v="20"/>
          </reference>
        </references>
      </pivotArea>
    </format>
    <format dxfId="1422">
      <pivotArea field="0" dataOnly="0" labelOnly="1" grandRow="1" outline="0" axis="axisRow" fieldPosition="0">
        <references count="1">
          <reference field="4294967294" count="1" selected="0">
            <x v="21"/>
          </reference>
        </references>
      </pivotArea>
    </format>
    <format dxfId="1421">
      <pivotArea field="0" dataOnly="0" labelOnly="1" grandRow="1" outline="0" axis="axisRow" fieldPosition="0">
        <references count="1">
          <reference field="4294967294" count="1" selected="0">
            <x v="22"/>
          </reference>
        </references>
      </pivotArea>
    </format>
    <format dxfId="1420">
      <pivotArea field="0" dataOnly="0" labelOnly="1" grandRow="1" outline="0" axis="axisRow" fieldPosition="0">
        <references count="1">
          <reference field="4294967294" count="1" selected="0">
            <x v="23"/>
          </reference>
        </references>
      </pivotArea>
    </format>
    <format dxfId="1419">
      <pivotArea field="0" dataOnly="0" labelOnly="1" grandRow="1" outline="0" axis="axisRow" fieldPosition="0">
        <references count="1">
          <reference field="4294967294" count="1" selected="0">
            <x v="24"/>
          </reference>
        </references>
      </pivotArea>
    </format>
    <format dxfId="1418">
      <pivotArea field="0" dataOnly="0" labelOnly="1" grandRow="1" outline="0" axis="axisRow" fieldPosition="0">
        <references count="1">
          <reference field="4294967294" count="1" selected="0">
            <x v="25"/>
          </reference>
        </references>
      </pivotArea>
    </format>
    <format dxfId="1417">
      <pivotArea field="0" dataOnly="0" labelOnly="1" grandRow="1" outline="0" axis="axisRow" fieldPosition="0">
        <references count="1">
          <reference field="4294967294" count="1" selected="0">
            <x v="26"/>
          </reference>
        </references>
      </pivotArea>
    </format>
    <format dxfId="1416">
      <pivotArea field="0" dataOnly="0" labelOnly="1" grandRow="1" outline="0" axis="axisRow" fieldPosition="0">
        <references count="1">
          <reference field="4294967294" count="1" selected="0">
            <x v="27"/>
          </reference>
        </references>
      </pivotArea>
    </format>
    <format dxfId="1415">
      <pivotArea field="0" dataOnly="0" labelOnly="1" grandRow="1" outline="0" axis="axisRow" fieldPosition="0">
        <references count="1">
          <reference field="4294967294" count="1" selected="0">
            <x v="28"/>
          </reference>
        </references>
      </pivotArea>
    </format>
    <format dxfId="1414">
      <pivotArea field="0" dataOnly="0" labelOnly="1" grandRow="1" outline="0" axis="axisRow" fieldPosition="0">
        <references count="1">
          <reference field="4294967294" count="1" selected="0">
            <x v="29"/>
          </reference>
        </references>
      </pivotArea>
    </format>
    <format dxfId="1413">
      <pivotArea field="0" dataOnly="0" labelOnly="1" grandRow="1" outline="0" axis="axisRow" fieldPosition="0">
        <references count="1">
          <reference field="4294967294" count="1" selected="0">
            <x v="30"/>
          </reference>
        </references>
      </pivotArea>
    </format>
    <format dxfId="1412">
      <pivotArea field="0" dataOnly="0" labelOnly="1" grandRow="1" outline="0" axis="axisRow" fieldPosition="0">
        <references count="1">
          <reference field="4294967294" count="1" selected="0">
            <x v="31"/>
          </reference>
        </references>
      </pivotArea>
    </format>
    <format dxfId="1411">
      <pivotArea field="0" dataOnly="0" labelOnly="1" grandRow="1" outline="0" axis="axisRow" fieldPosition="0">
        <references count="1">
          <reference field="4294967294" count="1" selected="0">
            <x v="32"/>
          </reference>
        </references>
      </pivotArea>
    </format>
    <format dxfId="1410">
      <pivotArea field="0" dataOnly="0" labelOnly="1" grandRow="1" outline="0" axis="axisRow" fieldPosition="0">
        <references count="1">
          <reference field="4294967294" count="1" selected="0">
            <x v="33"/>
          </reference>
        </references>
      </pivotArea>
    </format>
    <format dxfId="1409">
      <pivotArea field="0" dataOnly="0" labelOnly="1" grandRow="1" outline="0" axis="axisRow" fieldPosition="0">
        <references count="1">
          <reference field="4294967294" count="1" selected="0">
            <x v="34"/>
          </reference>
        </references>
      </pivotArea>
    </format>
    <format dxfId="1408">
      <pivotArea field="0" dataOnly="0" labelOnly="1" grandRow="1" outline="0" axis="axisRow" fieldPosition="0">
        <references count="1">
          <reference field="4294967294" count="1" selected="0">
            <x v="35"/>
          </reference>
        </references>
      </pivotArea>
    </format>
    <format dxfId="1407">
      <pivotArea field="0" dataOnly="0" labelOnly="1" grandRow="1" outline="0" axis="axisRow" fieldPosition="0">
        <references count="1">
          <reference field="4294967294" count="1" selected="0">
            <x v="0"/>
          </reference>
        </references>
      </pivotArea>
    </format>
    <format dxfId="1406">
      <pivotArea field="0" dataOnly="0" labelOnly="1" grandRow="1" outline="0" axis="axisRow" fieldPosition="0">
        <references count="1">
          <reference field="4294967294" count="1" selected="0">
            <x v="1"/>
          </reference>
        </references>
      </pivotArea>
    </format>
    <format dxfId="1405">
      <pivotArea field="0" dataOnly="0" labelOnly="1" grandRow="1" outline="0" axis="axisRow" fieldPosition="0">
        <references count="1">
          <reference field="4294967294" count="1" selected="0">
            <x v="2"/>
          </reference>
        </references>
      </pivotArea>
    </format>
    <format dxfId="1404">
      <pivotArea field="0" dataOnly="0" labelOnly="1" grandRow="1" outline="0" axis="axisRow" fieldPosition="0">
        <references count="1">
          <reference field="4294967294" count="1" selected="0">
            <x v="3"/>
          </reference>
        </references>
      </pivotArea>
    </format>
    <format dxfId="1403">
      <pivotArea field="0" dataOnly="0" labelOnly="1" grandRow="1" outline="0" axis="axisRow" fieldPosition="0">
        <references count="1">
          <reference field="4294967294" count="1" selected="0">
            <x v="4"/>
          </reference>
        </references>
      </pivotArea>
    </format>
    <format dxfId="1402">
      <pivotArea field="0" dataOnly="0" labelOnly="1" grandRow="1" outline="0" axis="axisRow" fieldPosition="0">
        <references count="1">
          <reference field="4294967294" count="1" selected="0">
            <x v="5"/>
          </reference>
        </references>
      </pivotArea>
    </format>
    <format dxfId="1401">
      <pivotArea field="0" dataOnly="0" labelOnly="1" grandRow="1" outline="0" axis="axisRow" fieldPosition="0">
        <references count="1">
          <reference field="4294967294" count="1" selected="0">
            <x v="6"/>
          </reference>
        </references>
      </pivotArea>
    </format>
    <format dxfId="1400">
      <pivotArea field="0" dataOnly="0" labelOnly="1" grandRow="1" outline="0" axis="axisRow" fieldPosition="0">
        <references count="1">
          <reference field="4294967294" count="1" selected="0">
            <x v="7"/>
          </reference>
        </references>
      </pivotArea>
    </format>
    <format dxfId="1399">
      <pivotArea field="0" dataOnly="0" labelOnly="1" grandRow="1" outline="0" axis="axisRow" fieldPosition="0">
        <references count="1">
          <reference field="4294967294" count="1" selected="0">
            <x v="8"/>
          </reference>
        </references>
      </pivotArea>
    </format>
    <format dxfId="1398">
      <pivotArea field="0" dataOnly="0" labelOnly="1" grandRow="1" outline="0" axis="axisRow" fieldPosition="0">
        <references count="1">
          <reference field="4294967294" count="1" selected="0">
            <x v="9"/>
          </reference>
        </references>
      </pivotArea>
    </format>
    <format dxfId="1397">
      <pivotArea field="0" dataOnly="0" labelOnly="1" grandRow="1" outline="0" axis="axisRow" fieldPosition="0">
        <references count="1">
          <reference field="4294967294" count="1" selected="0">
            <x v="10"/>
          </reference>
        </references>
      </pivotArea>
    </format>
    <format dxfId="1396">
      <pivotArea field="0" dataOnly="0" labelOnly="1" grandRow="1" outline="0" axis="axisRow" fieldPosition="0">
        <references count="1">
          <reference field="4294967294" count="1" selected="0">
            <x v="11"/>
          </reference>
        </references>
      </pivotArea>
    </format>
    <format dxfId="1395">
      <pivotArea field="0" dataOnly="0" labelOnly="1" grandRow="1" outline="0" axis="axisRow" fieldPosition="0">
        <references count="1">
          <reference field="4294967294" count="1" selected="0">
            <x v="12"/>
          </reference>
        </references>
      </pivotArea>
    </format>
    <format dxfId="1394">
      <pivotArea field="0" dataOnly="0" labelOnly="1" grandRow="1" outline="0" axis="axisRow" fieldPosition="0">
        <references count="1">
          <reference field="4294967294" count="1" selected="0">
            <x v="13"/>
          </reference>
        </references>
      </pivotArea>
    </format>
    <format dxfId="1393">
      <pivotArea field="0" dataOnly="0" labelOnly="1" grandRow="1" outline="0" axis="axisRow" fieldPosition="0">
        <references count="1">
          <reference field="4294967294" count="1" selected="0">
            <x v="14"/>
          </reference>
        </references>
      </pivotArea>
    </format>
    <format dxfId="1392">
      <pivotArea field="0" dataOnly="0" labelOnly="1" grandRow="1" outline="0" axis="axisRow" fieldPosition="0">
        <references count="1">
          <reference field="4294967294" count="1" selected="0">
            <x v="15"/>
          </reference>
        </references>
      </pivotArea>
    </format>
    <format dxfId="1391">
      <pivotArea field="0" dataOnly="0" labelOnly="1" grandRow="1" outline="0" axis="axisRow" fieldPosition="0">
        <references count="1">
          <reference field="4294967294" count="1" selected="0">
            <x v="16"/>
          </reference>
        </references>
      </pivotArea>
    </format>
    <format dxfId="1390">
      <pivotArea field="0" dataOnly="0" labelOnly="1" grandRow="1" outline="0" axis="axisRow" fieldPosition="0">
        <references count="1">
          <reference field="4294967294" count="1" selected="0">
            <x v="17"/>
          </reference>
        </references>
      </pivotArea>
    </format>
    <format dxfId="1389">
      <pivotArea field="0" dataOnly="0" labelOnly="1" grandRow="1" outline="0" axis="axisRow" fieldPosition="0">
        <references count="1">
          <reference field="4294967294" count="1" selected="0">
            <x v="18"/>
          </reference>
        </references>
      </pivotArea>
    </format>
    <format dxfId="1388">
      <pivotArea field="0" dataOnly="0" labelOnly="1" grandRow="1" outline="0" axis="axisRow" fieldPosition="0">
        <references count="1">
          <reference field="4294967294" count="1" selected="0">
            <x v="19"/>
          </reference>
        </references>
      </pivotArea>
    </format>
    <format dxfId="1387">
      <pivotArea field="0" dataOnly="0" labelOnly="1" grandRow="1" outline="0" axis="axisRow" fieldPosition="0">
        <references count="1">
          <reference field="4294967294" count="1" selected="0">
            <x v="20"/>
          </reference>
        </references>
      </pivotArea>
    </format>
    <format dxfId="1386">
      <pivotArea field="0" dataOnly="0" labelOnly="1" grandRow="1" outline="0" axis="axisRow" fieldPosition="0">
        <references count="1">
          <reference field="4294967294" count="1" selected="0">
            <x v="21"/>
          </reference>
        </references>
      </pivotArea>
    </format>
    <format dxfId="1385">
      <pivotArea field="0" dataOnly="0" labelOnly="1" grandRow="1" outline="0" axis="axisRow" fieldPosition="0">
        <references count="1">
          <reference field="4294967294" count="1" selected="0">
            <x v="22"/>
          </reference>
        </references>
      </pivotArea>
    </format>
    <format dxfId="1384">
      <pivotArea field="0" dataOnly="0" labelOnly="1" grandRow="1" outline="0" axis="axisRow" fieldPosition="0">
        <references count="1">
          <reference field="4294967294" count="1" selected="0">
            <x v="23"/>
          </reference>
        </references>
      </pivotArea>
    </format>
    <format dxfId="1383">
      <pivotArea field="0" dataOnly="0" labelOnly="1" grandRow="1" outline="0" axis="axisRow" fieldPosition="0">
        <references count="1">
          <reference field="4294967294" count="1" selected="0">
            <x v="24"/>
          </reference>
        </references>
      </pivotArea>
    </format>
    <format dxfId="1382">
      <pivotArea field="0" dataOnly="0" labelOnly="1" grandRow="1" outline="0" axis="axisRow" fieldPosition="0">
        <references count="1">
          <reference field="4294967294" count="1" selected="0">
            <x v="25"/>
          </reference>
        </references>
      </pivotArea>
    </format>
    <format dxfId="1381">
      <pivotArea field="0" dataOnly="0" labelOnly="1" grandRow="1" outline="0" axis="axisRow" fieldPosition="0">
        <references count="1">
          <reference field="4294967294" count="1" selected="0">
            <x v="26"/>
          </reference>
        </references>
      </pivotArea>
    </format>
    <format dxfId="1380">
      <pivotArea field="0" dataOnly="0" labelOnly="1" grandRow="1" outline="0" axis="axisRow" fieldPosition="0">
        <references count="1">
          <reference field="4294967294" count="1" selected="0">
            <x v="27"/>
          </reference>
        </references>
      </pivotArea>
    </format>
    <format dxfId="1379">
      <pivotArea field="0" dataOnly="0" labelOnly="1" grandRow="1" outline="0" axis="axisRow" fieldPosition="0">
        <references count="1">
          <reference field="4294967294" count="1" selected="0">
            <x v="28"/>
          </reference>
        </references>
      </pivotArea>
    </format>
    <format dxfId="1378">
      <pivotArea field="0" dataOnly="0" labelOnly="1" grandRow="1" outline="0" axis="axisRow" fieldPosition="0">
        <references count="1">
          <reference field="4294967294" count="1" selected="0">
            <x v="29"/>
          </reference>
        </references>
      </pivotArea>
    </format>
    <format dxfId="1377">
      <pivotArea field="0" dataOnly="0" labelOnly="1" grandRow="1" outline="0" axis="axisRow" fieldPosition="0">
        <references count="1">
          <reference field="4294967294" count="1" selected="0">
            <x v="30"/>
          </reference>
        </references>
      </pivotArea>
    </format>
    <format dxfId="1376">
      <pivotArea field="0" dataOnly="0" labelOnly="1" grandRow="1" outline="0" axis="axisRow" fieldPosition="0">
        <references count="1">
          <reference field="4294967294" count="1" selected="0">
            <x v="31"/>
          </reference>
        </references>
      </pivotArea>
    </format>
    <format dxfId="1375">
      <pivotArea field="0" dataOnly="0" labelOnly="1" grandRow="1" outline="0" axis="axisRow" fieldPosition="0">
        <references count="1">
          <reference field="4294967294" count="1" selected="0">
            <x v="32"/>
          </reference>
        </references>
      </pivotArea>
    </format>
    <format dxfId="1374">
      <pivotArea field="0" dataOnly="0" labelOnly="1" grandRow="1" outline="0" axis="axisRow" fieldPosition="0">
        <references count="1">
          <reference field="4294967294" count="1" selected="0">
            <x v="33"/>
          </reference>
        </references>
      </pivotArea>
    </format>
    <format dxfId="1373">
      <pivotArea field="0" dataOnly="0" labelOnly="1" grandRow="1" outline="0" axis="axisRow" fieldPosition="0">
        <references count="1">
          <reference field="4294967294" count="1" selected="0">
            <x v="34"/>
          </reference>
        </references>
      </pivotArea>
    </format>
    <format dxfId="1372">
      <pivotArea field="0" dataOnly="0" labelOnly="1" grandRow="1" outline="0" axis="axisRow" fieldPosition="0">
        <references count="1">
          <reference field="4294967294" count="1" selected="0">
            <x v="35"/>
          </reference>
        </references>
      </pivotArea>
    </format>
    <format dxfId="1371">
      <pivotArea field="0" dataOnly="0" labelOnly="1" grandRow="1" outline="0" axis="axisRow" fieldPosition="0">
        <references count="1">
          <reference field="4294967294" count="1" selected="0">
            <x v="0"/>
          </reference>
        </references>
      </pivotArea>
    </format>
    <format dxfId="1370">
      <pivotArea field="0" dataOnly="0" labelOnly="1" grandRow="1" outline="0" axis="axisRow" fieldPosition="0">
        <references count="1">
          <reference field="4294967294" count="1" selected="0">
            <x v="1"/>
          </reference>
        </references>
      </pivotArea>
    </format>
    <format dxfId="1369">
      <pivotArea field="0" dataOnly="0" labelOnly="1" grandRow="1" outline="0" axis="axisRow" fieldPosition="0">
        <references count="1">
          <reference field="4294967294" count="1" selected="0">
            <x v="2"/>
          </reference>
        </references>
      </pivotArea>
    </format>
    <format dxfId="1368">
      <pivotArea field="0" dataOnly="0" labelOnly="1" grandRow="1" outline="0" axis="axisRow" fieldPosition="0">
        <references count="1">
          <reference field="4294967294" count="1" selected="0">
            <x v="3"/>
          </reference>
        </references>
      </pivotArea>
    </format>
    <format dxfId="1367">
      <pivotArea field="0" dataOnly="0" labelOnly="1" grandRow="1" outline="0" axis="axisRow" fieldPosition="0">
        <references count="1">
          <reference field="4294967294" count="1" selected="0">
            <x v="4"/>
          </reference>
        </references>
      </pivotArea>
    </format>
    <format dxfId="1366">
      <pivotArea field="0" dataOnly="0" labelOnly="1" grandRow="1" outline="0" axis="axisRow" fieldPosition="0">
        <references count="1">
          <reference field="4294967294" count="1" selected="0">
            <x v="5"/>
          </reference>
        </references>
      </pivotArea>
    </format>
    <format dxfId="1365">
      <pivotArea field="0" dataOnly="0" labelOnly="1" grandRow="1" outline="0" axis="axisRow" fieldPosition="0">
        <references count="1">
          <reference field="4294967294" count="1" selected="0">
            <x v="6"/>
          </reference>
        </references>
      </pivotArea>
    </format>
    <format dxfId="1364">
      <pivotArea field="0" dataOnly="0" labelOnly="1" grandRow="1" outline="0" axis="axisRow" fieldPosition="0">
        <references count="1">
          <reference field="4294967294" count="1" selected="0">
            <x v="7"/>
          </reference>
        </references>
      </pivotArea>
    </format>
    <format dxfId="1363">
      <pivotArea field="0" dataOnly="0" labelOnly="1" grandRow="1" outline="0" axis="axisRow" fieldPosition="0">
        <references count="1">
          <reference field="4294967294" count="1" selected="0">
            <x v="8"/>
          </reference>
        </references>
      </pivotArea>
    </format>
    <format dxfId="1362">
      <pivotArea field="0" dataOnly="0" labelOnly="1" grandRow="1" outline="0" axis="axisRow" fieldPosition="0">
        <references count="1">
          <reference field="4294967294" count="1" selected="0">
            <x v="9"/>
          </reference>
        </references>
      </pivotArea>
    </format>
    <format dxfId="1361">
      <pivotArea field="0" dataOnly="0" labelOnly="1" grandRow="1" outline="0" axis="axisRow" fieldPosition="0">
        <references count="1">
          <reference field="4294967294" count="1" selected="0">
            <x v="10"/>
          </reference>
        </references>
      </pivotArea>
    </format>
    <format dxfId="1360">
      <pivotArea field="0" dataOnly="0" labelOnly="1" grandRow="1" outline="0" axis="axisRow" fieldPosition="0">
        <references count="1">
          <reference field="4294967294" count="1" selected="0">
            <x v="11"/>
          </reference>
        </references>
      </pivotArea>
    </format>
    <format dxfId="1359">
      <pivotArea field="0" dataOnly="0" labelOnly="1" grandRow="1" outline="0" axis="axisRow" fieldPosition="0">
        <references count="1">
          <reference field="4294967294" count="1" selected="0">
            <x v="12"/>
          </reference>
        </references>
      </pivotArea>
    </format>
    <format dxfId="1358">
      <pivotArea field="0" dataOnly="0" labelOnly="1" grandRow="1" outline="0" axis="axisRow" fieldPosition="0">
        <references count="1">
          <reference field="4294967294" count="1" selected="0">
            <x v="13"/>
          </reference>
        </references>
      </pivotArea>
    </format>
    <format dxfId="1357">
      <pivotArea field="0" dataOnly="0" labelOnly="1" grandRow="1" outline="0" axis="axisRow" fieldPosition="0">
        <references count="1">
          <reference field="4294967294" count="1" selected="0">
            <x v="14"/>
          </reference>
        </references>
      </pivotArea>
    </format>
    <format dxfId="1356">
      <pivotArea field="0" dataOnly="0" labelOnly="1" grandRow="1" outline="0" axis="axisRow" fieldPosition="0">
        <references count="1">
          <reference field="4294967294" count="1" selected="0">
            <x v="15"/>
          </reference>
        </references>
      </pivotArea>
    </format>
    <format dxfId="1355">
      <pivotArea field="0" dataOnly="0" labelOnly="1" grandRow="1" outline="0" axis="axisRow" fieldPosition="0">
        <references count="1">
          <reference field="4294967294" count="1" selected="0">
            <x v="16"/>
          </reference>
        </references>
      </pivotArea>
    </format>
    <format dxfId="1354">
      <pivotArea field="0" dataOnly="0" labelOnly="1" grandRow="1" outline="0" axis="axisRow" fieldPosition="0">
        <references count="1">
          <reference field="4294967294" count="1" selected="0">
            <x v="17"/>
          </reference>
        </references>
      </pivotArea>
    </format>
    <format dxfId="1353">
      <pivotArea field="0" dataOnly="0" labelOnly="1" grandRow="1" outline="0" axis="axisRow" fieldPosition="0">
        <references count="1">
          <reference field="4294967294" count="1" selected="0">
            <x v="18"/>
          </reference>
        </references>
      </pivotArea>
    </format>
    <format dxfId="1352">
      <pivotArea field="0" dataOnly="0" labelOnly="1" grandRow="1" outline="0" axis="axisRow" fieldPosition="0">
        <references count="1">
          <reference field="4294967294" count="1" selected="0">
            <x v="19"/>
          </reference>
        </references>
      </pivotArea>
    </format>
    <format dxfId="1351">
      <pivotArea field="0" dataOnly="0" labelOnly="1" grandRow="1" outline="0" axis="axisRow" fieldPosition="0">
        <references count="1">
          <reference field="4294967294" count="1" selected="0">
            <x v="20"/>
          </reference>
        </references>
      </pivotArea>
    </format>
    <format dxfId="1350">
      <pivotArea field="0" dataOnly="0" labelOnly="1" grandRow="1" outline="0" axis="axisRow" fieldPosition="0">
        <references count="1">
          <reference field="4294967294" count="1" selected="0">
            <x v="21"/>
          </reference>
        </references>
      </pivotArea>
    </format>
    <format dxfId="1349">
      <pivotArea field="0" dataOnly="0" labelOnly="1" grandRow="1" outline="0" axis="axisRow" fieldPosition="0">
        <references count="1">
          <reference field="4294967294" count="1" selected="0">
            <x v="22"/>
          </reference>
        </references>
      </pivotArea>
    </format>
    <format dxfId="1348">
      <pivotArea field="0" dataOnly="0" labelOnly="1" grandRow="1" outline="0" axis="axisRow" fieldPosition="0">
        <references count="1">
          <reference field="4294967294" count="1" selected="0">
            <x v="23"/>
          </reference>
        </references>
      </pivotArea>
    </format>
    <format dxfId="1347">
      <pivotArea field="0" dataOnly="0" labelOnly="1" grandRow="1" outline="0" axis="axisRow" fieldPosition="0">
        <references count="1">
          <reference field="4294967294" count="1" selected="0">
            <x v="24"/>
          </reference>
        </references>
      </pivotArea>
    </format>
    <format dxfId="1346">
      <pivotArea field="0" dataOnly="0" labelOnly="1" grandRow="1" outline="0" axis="axisRow" fieldPosition="0">
        <references count="1">
          <reference field="4294967294" count="1" selected="0">
            <x v="25"/>
          </reference>
        </references>
      </pivotArea>
    </format>
    <format dxfId="1345">
      <pivotArea field="0" dataOnly="0" labelOnly="1" grandRow="1" outline="0" axis="axisRow" fieldPosition="0">
        <references count="1">
          <reference field="4294967294" count="1" selected="0">
            <x v="26"/>
          </reference>
        </references>
      </pivotArea>
    </format>
    <format dxfId="1344">
      <pivotArea field="0" dataOnly="0" labelOnly="1" grandRow="1" outline="0" axis="axisRow" fieldPosition="0">
        <references count="1">
          <reference field="4294967294" count="1" selected="0">
            <x v="27"/>
          </reference>
        </references>
      </pivotArea>
    </format>
    <format dxfId="1343">
      <pivotArea field="0" dataOnly="0" labelOnly="1" grandRow="1" outline="0" axis="axisRow" fieldPosition="0">
        <references count="1">
          <reference field="4294967294" count="1" selected="0">
            <x v="28"/>
          </reference>
        </references>
      </pivotArea>
    </format>
    <format dxfId="1342">
      <pivotArea field="0" dataOnly="0" labelOnly="1" grandRow="1" outline="0" axis="axisRow" fieldPosition="0">
        <references count="1">
          <reference field="4294967294" count="1" selected="0">
            <x v="29"/>
          </reference>
        </references>
      </pivotArea>
    </format>
    <format dxfId="1341">
      <pivotArea field="0" dataOnly="0" labelOnly="1" grandRow="1" outline="0" axis="axisRow" fieldPosition="0">
        <references count="1">
          <reference field="4294967294" count="1" selected="0">
            <x v="30"/>
          </reference>
        </references>
      </pivotArea>
    </format>
    <format dxfId="1340">
      <pivotArea field="0" dataOnly="0" labelOnly="1" grandRow="1" outline="0" axis="axisRow" fieldPosition="0">
        <references count="1">
          <reference field="4294967294" count="1" selected="0">
            <x v="31"/>
          </reference>
        </references>
      </pivotArea>
    </format>
    <format dxfId="1339">
      <pivotArea field="0" dataOnly="0" labelOnly="1" grandRow="1" outline="0" axis="axisRow" fieldPosition="0">
        <references count="1">
          <reference field="4294967294" count="1" selected="0">
            <x v="32"/>
          </reference>
        </references>
      </pivotArea>
    </format>
    <format dxfId="1338">
      <pivotArea field="0" dataOnly="0" labelOnly="1" grandRow="1" outline="0" axis="axisRow" fieldPosition="0">
        <references count="1">
          <reference field="4294967294" count="1" selected="0">
            <x v="33"/>
          </reference>
        </references>
      </pivotArea>
    </format>
    <format dxfId="1337">
      <pivotArea field="0" dataOnly="0" labelOnly="1" grandRow="1" outline="0" axis="axisRow" fieldPosition="0">
        <references count="1">
          <reference field="4294967294" count="1" selected="0">
            <x v="34"/>
          </reference>
        </references>
      </pivotArea>
    </format>
    <format dxfId="1336">
      <pivotArea field="0" dataOnly="0" labelOnly="1" grandRow="1" outline="0" axis="axisRow" fieldPosition="0">
        <references count="1">
          <reference field="4294967294" count="1" selected="0">
            <x v="35"/>
          </reference>
        </references>
      </pivotArea>
    </format>
    <format dxfId="1335">
      <pivotArea field="0" dataOnly="0" labelOnly="1" grandRow="1" outline="0" axis="axisRow" fieldPosition="0">
        <references count="1">
          <reference field="4294967294" count="1" selected="0">
            <x v="0"/>
          </reference>
        </references>
      </pivotArea>
    </format>
    <format dxfId="1334">
      <pivotArea field="0" dataOnly="0" labelOnly="1" grandRow="1" outline="0" axis="axisRow" fieldPosition="0">
        <references count="1">
          <reference field="4294967294" count="1" selected="0">
            <x v="1"/>
          </reference>
        </references>
      </pivotArea>
    </format>
    <format dxfId="1333">
      <pivotArea field="0" dataOnly="0" labelOnly="1" grandRow="1" outline="0" axis="axisRow" fieldPosition="0">
        <references count="1">
          <reference field="4294967294" count="1" selected="0">
            <x v="2"/>
          </reference>
        </references>
      </pivotArea>
    </format>
    <format dxfId="1332">
      <pivotArea field="0" dataOnly="0" labelOnly="1" grandRow="1" outline="0" axis="axisRow" fieldPosition="0">
        <references count="1">
          <reference field="4294967294" count="1" selected="0">
            <x v="3"/>
          </reference>
        </references>
      </pivotArea>
    </format>
    <format dxfId="1331">
      <pivotArea field="0" dataOnly="0" labelOnly="1" grandRow="1" outline="0" axis="axisRow" fieldPosition="0">
        <references count="1">
          <reference field="4294967294" count="1" selected="0">
            <x v="4"/>
          </reference>
        </references>
      </pivotArea>
    </format>
    <format dxfId="1330">
      <pivotArea field="0" dataOnly="0" labelOnly="1" grandRow="1" outline="0" axis="axisRow" fieldPosition="0">
        <references count="1">
          <reference field="4294967294" count="1" selected="0">
            <x v="5"/>
          </reference>
        </references>
      </pivotArea>
    </format>
    <format dxfId="1329">
      <pivotArea field="0" dataOnly="0" labelOnly="1" grandRow="1" outline="0" axis="axisRow" fieldPosition="0">
        <references count="1">
          <reference field="4294967294" count="1" selected="0">
            <x v="6"/>
          </reference>
        </references>
      </pivotArea>
    </format>
    <format dxfId="1328">
      <pivotArea field="0" dataOnly="0" labelOnly="1" grandRow="1" outline="0" axis="axisRow" fieldPosition="0">
        <references count="1">
          <reference field="4294967294" count="1" selected="0">
            <x v="7"/>
          </reference>
        </references>
      </pivotArea>
    </format>
    <format dxfId="1327">
      <pivotArea field="0" dataOnly="0" labelOnly="1" grandRow="1" outline="0" axis="axisRow" fieldPosition="0">
        <references count="1">
          <reference field="4294967294" count="1" selected="0">
            <x v="8"/>
          </reference>
        </references>
      </pivotArea>
    </format>
    <format dxfId="1326">
      <pivotArea field="0" dataOnly="0" labelOnly="1" grandRow="1" outline="0" axis="axisRow" fieldPosition="0">
        <references count="1">
          <reference field="4294967294" count="1" selected="0">
            <x v="9"/>
          </reference>
        </references>
      </pivotArea>
    </format>
    <format dxfId="1325">
      <pivotArea field="0" dataOnly="0" labelOnly="1" grandRow="1" outline="0" axis="axisRow" fieldPosition="0">
        <references count="1">
          <reference field="4294967294" count="1" selected="0">
            <x v="10"/>
          </reference>
        </references>
      </pivotArea>
    </format>
    <format dxfId="1324">
      <pivotArea field="0" dataOnly="0" labelOnly="1" grandRow="1" outline="0" axis="axisRow" fieldPosition="0">
        <references count="1">
          <reference field="4294967294" count="1" selected="0">
            <x v="11"/>
          </reference>
        </references>
      </pivotArea>
    </format>
    <format dxfId="1323">
      <pivotArea field="0" dataOnly="0" labelOnly="1" grandRow="1" outline="0" axis="axisRow" fieldPosition="0">
        <references count="1">
          <reference field="4294967294" count="1" selected="0">
            <x v="12"/>
          </reference>
        </references>
      </pivotArea>
    </format>
    <format dxfId="1322">
      <pivotArea field="0" dataOnly="0" labelOnly="1" grandRow="1" outline="0" axis="axisRow" fieldPosition="0">
        <references count="1">
          <reference field="4294967294" count="1" selected="0">
            <x v="13"/>
          </reference>
        </references>
      </pivotArea>
    </format>
    <format dxfId="1321">
      <pivotArea field="0" dataOnly="0" labelOnly="1" grandRow="1" outline="0" axis="axisRow" fieldPosition="0">
        <references count="1">
          <reference field="4294967294" count="1" selected="0">
            <x v="14"/>
          </reference>
        </references>
      </pivotArea>
    </format>
    <format dxfId="1320">
      <pivotArea field="0" dataOnly="0" labelOnly="1" grandRow="1" outline="0" axis="axisRow" fieldPosition="0">
        <references count="1">
          <reference field="4294967294" count="1" selected="0">
            <x v="15"/>
          </reference>
        </references>
      </pivotArea>
    </format>
    <format dxfId="1319">
      <pivotArea field="0" dataOnly="0" labelOnly="1" grandRow="1" outline="0" axis="axisRow" fieldPosition="0">
        <references count="1">
          <reference field="4294967294" count="1" selected="0">
            <x v="16"/>
          </reference>
        </references>
      </pivotArea>
    </format>
    <format dxfId="1318">
      <pivotArea field="0" dataOnly="0" labelOnly="1" grandRow="1" outline="0" axis="axisRow" fieldPosition="0">
        <references count="1">
          <reference field="4294967294" count="1" selected="0">
            <x v="17"/>
          </reference>
        </references>
      </pivotArea>
    </format>
    <format dxfId="1317">
      <pivotArea field="0" dataOnly="0" labelOnly="1" grandRow="1" outline="0" axis="axisRow" fieldPosition="0">
        <references count="1">
          <reference field="4294967294" count="1" selected="0">
            <x v="18"/>
          </reference>
        </references>
      </pivotArea>
    </format>
    <format dxfId="1316">
      <pivotArea field="0" dataOnly="0" labelOnly="1" grandRow="1" outline="0" axis="axisRow" fieldPosition="0">
        <references count="1">
          <reference field="4294967294" count="1" selected="0">
            <x v="19"/>
          </reference>
        </references>
      </pivotArea>
    </format>
    <format dxfId="1315">
      <pivotArea field="0" dataOnly="0" labelOnly="1" grandRow="1" outline="0" axis="axisRow" fieldPosition="0">
        <references count="1">
          <reference field="4294967294" count="1" selected="0">
            <x v="20"/>
          </reference>
        </references>
      </pivotArea>
    </format>
    <format dxfId="1314">
      <pivotArea field="0" dataOnly="0" labelOnly="1" grandRow="1" outline="0" axis="axisRow" fieldPosition="0">
        <references count="1">
          <reference field="4294967294" count="1" selected="0">
            <x v="21"/>
          </reference>
        </references>
      </pivotArea>
    </format>
    <format dxfId="1313">
      <pivotArea field="0" dataOnly="0" labelOnly="1" grandRow="1" outline="0" axis="axisRow" fieldPosition="0">
        <references count="1">
          <reference field="4294967294" count="1" selected="0">
            <x v="22"/>
          </reference>
        </references>
      </pivotArea>
    </format>
    <format dxfId="1312">
      <pivotArea field="0" dataOnly="0" labelOnly="1" grandRow="1" outline="0" axis="axisRow" fieldPosition="0">
        <references count="1">
          <reference field="4294967294" count="1" selected="0">
            <x v="23"/>
          </reference>
        </references>
      </pivotArea>
    </format>
    <format dxfId="1311">
      <pivotArea field="0" dataOnly="0" labelOnly="1" grandRow="1" outline="0" axis="axisRow" fieldPosition="0">
        <references count="1">
          <reference field="4294967294" count="1" selected="0">
            <x v="24"/>
          </reference>
        </references>
      </pivotArea>
    </format>
    <format dxfId="1310">
      <pivotArea field="0" dataOnly="0" labelOnly="1" grandRow="1" outline="0" axis="axisRow" fieldPosition="0">
        <references count="1">
          <reference field="4294967294" count="1" selected="0">
            <x v="25"/>
          </reference>
        </references>
      </pivotArea>
    </format>
    <format dxfId="1309">
      <pivotArea field="0" dataOnly="0" labelOnly="1" grandRow="1" outline="0" axis="axisRow" fieldPosition="0">
        <references count="1">
          <reference field="4294967294" count="1" selected="0">
            <x v="26"/>
          </reference>
        </references>
      </pivotArea>
    </format>
    <format dxfId="1308">
      <pivotArea field="0" dataOnly="0" labelOnly="1" grandRow="1" outline="0" axis="axisRow" fieldPosition="0">
        <references count="1">
          <reference field="4294967294" count="1" selected="0">
            <x v="27"/>
          </reference>
        </references>
      </pivotArea>
    </format>
    <format dxfId="1307">
      <pivotArea field="0" dataOnly="0" labelOnly="1" grandRow="1" outline="0" axis="axisRow" fieldPosition="0">
        <references count="1">
          <reference field="4294967294" count="1" selected="0">
            <x v="28"/>
          </reference>
        </references>
      </pivotArea>
    </format>
    <format dxfId="1306">
      <pivotArea field="0" dataOnly="0" labelOnly="1" grandRow="1" outline="0" axis="axisRow" fieldPosition="0">
        <references count="1">
          <reference field="4294967294" count="1" selected="0">
            <x v="29"/>
          </reference>
        </references>
      </pivotArea>
    </format>
    <format dxfId="1305">
      <pivotArea field="0" dataOnly="0" labelOnly="1" grandRow="1" outline="0" axis="axisRow" fieldPosition="0">
        <references count="1">
          <reference field="4294967294" count="1" selected="0">
            <x v="30"/>
          </reference>
        </references>
      </pivotArea>
    </format>
    <format dxfId="1304">
      <pivotArea field="0" dataOnly="0" labelOnly="1" grandRow="1" outline="0" axis="axisRow" fieldPosition="0">
        <references count="1">
          <reference field="4294967294" count="1" selected="0">
            <x v="31"/>
          </reference>
        </references>
      </pivotArea>
    </format>
    <format dxfId="1303">
      <pivotArea field="0" dataOnly="0" labelOnly="1" grandRow="1" outline="0" axis="axisRow" fieldPosition="0">
        <references count="1">
          <reference field="4294967294" count="1" selected="0">
            <x v="32"/>
          </reference>
        </references>
      </pivotArea>
    </format>
    <format dxfId="1302">
      <pivotArea field="0" dataOnly="0" labelOnly="1" grandRow="1" outline="0" axis="axisRow" fieldPosition="0">
        <references count="1">
          <reference field="4294967294" count="1" selected="0">
            <x v="33"/>
          </reference>
        </references>
      </pivotArea>
    </format>
    <format dxfId="1301">
      <pivotArea field="0" dataOnly="0" labelOnly="1" grandRow="1" outline="0" axis="axisRow" fieldPosition="0">
        <references count="1">
          <reference field="4294967294" count="1" selected="0">
            <x v="34"/>
          </reference>
        </references>
      </pivotArea>
    </format>
    <format dxfId="1300">
      <pivotArea field="0" dataOnly="0" labelOnly="1" grandRow="1" outline="0" axis="axisRow" fieldPosition="0">
        <references count="1">
          <reference field="4294967294" count="1" selected="0">
            <x v="35"/>
          </reference>
        </references>
      </pivotArea>
    </format>
    <format dxfId="1299">
      <pivotArea field="0" dataOnly="0" labelOnly="1" grandRow="1" outline="0" axis="axisRow" fieldPosition="0">
        <references count="1">
          <reference field="4294967294" count="1" selected="0">
            <x v="0"/>
          </reference>
        </references>
      </pivotArea>
    </format>
    <format dxfId="1298">
      <pivotArea field="0" dataOnly="0" labelOnly="1" grandRow="1" outline="0" axis="axisRow" fieldPosition="0">
        <references count="1">
          <reference field="4294967294" count="1" selected="0">
            <x v="1"/>
          </reference>
        </references>
      </pivotArea>
    </format>
    <format dxfId="1297">
      <pivotArea field="0" dataOnly="0" labelOnly="1" grandRow="1" outline="0" axis="axisRow" fieldPosition="0">
        <references count="1">
          <reference field="4294967294" count="1" selected="0">
            <x v="2"/>
          </reference>
        </references>
      </pivotArea>
    </format>
    <format dxfId="1296">
      <pivotArea field="0" dataOnly="0" labelOnly="1" grandRow="1" outline="0" axis="axisRow" fieldPosition="0">
        <references count="1">
          <reference field="4294967294" count="1" selected="0">
            <x v="3"/>
          </reference>
        </references>
      </pivotArea>
    </format>
    <format dxfId="1295">
      <pivotArea field="0" dataOnly="0" labelOnly="1" grandRow="1" outline="0" axis="axisRow" fieldPosition="0">
        <references count="1">
          <reference field="4294967294" count="1" selected="0">
            <x v="4"/>
          </reference>
        </references>
      </pivotArea>
    </format>
    <format dxfId="1294">
      <pivotArea field="0" dataOnly="0" labelOnly="1" grandRow="1" outline="0" axis="axisRow" fieldPosition="0">
        <references count="1">
          <reference field="4294967294" count="1" selected="0">
            <x v="5"/>
          </reference>
        </references>
      </pivotArea>
    </format>
    <format dxfId="1293">
      <pivotArea field="0" dataOnly="0" labelOnly="1" grandRow="1" outline="0" axis="axisRow" fieldPosition="0">
        <references count="1">
          <reference field="4294967294" count="1" selected="0">
            <x v="6"/>
          </reference>
        </references>
      </pivotArea>
    </format>
    <format dxfId="1292">
      <pivotArea field="0" dataOnly="0" labelOnly="1" grandRow="1" outline="0" axis="axisRow" fieldPosition="0">
        <references count="1">
          <reference field="4294967294" count="1" selected="0">
            <x v="7"/>
          </reference>
        </references>
      </pivotArea>
    </format>
    <format dxfId="1291">
      <pivotArea field="0" dataOnly="0" labelOnly="1" grandRow="1" outline="0" axis="axisRow" fieldPosition="0">
        <references count="1">
          <reference field="4294967294" count="1" selected="0">
            <x v="8"/>
          </reference>
        </references>
      </pivotArea>
    </format>
    <format dxfId="1290">
      <pivotArea field="0" dataOnly="0" labelOnly="1" grandRow="1" outline="0" axis="axisRow" fieldPosition="0">
        <references count="1">
          <reference field="4294967294" count="1" selected="0">
            <x v="9"/>
          </reference>
        </references>
      </pivotArea>
    </format>
    <format dxfId="1289">
      <pivotArea field="0" dataOnly="0" labelOnly="1" grandRow="1" outline="0" axis="axisRow" fieldPosition="0">
        <references count="1">
          <reference field="4294967294" count="1" selected="0">
            <x v="10"/>
          </reference>
        </references>
      </pivotArea>
    </format>
    <format dxfId="1288">
      <pivotArea field="0" dataOnly="0" labelOnly="1" grandRow="1" outline="0" axis="axisRow" fieldPosition="0">
        <references count="1">
          <reference field="4294967294" count="1" selected="0">
            <x v="11"/>
          </reference>
        </references>
      </pivotArea>
    </format>
    <format dxfId="1287">
      <pivotArea field="0" dataOnly="0" labelOnly="1" grandRow="1" outline="0" axis="axisRow" fieldPosition="0">
        <references count="1">
          <reference field="4294967294" count="1" selected="0">
            <x v="12"/>
          </reference>
        </references>
      </pivotArea>
    </format>
    <format dxfId="1286">
      <pivotArea field="0" dataOnly="0" labelOnly="1" grandRow="1" outline="0" axis="axisRow" fieldPosition="0">
        <references count="1">
          <reference field="4294967294" count="1" selected="0">
            <x v="13"/>
          </reference>
        </references>
      </pivotArea>
    </format>
    <format dxfId="1285">
      <pivotArea field="0" dataOnly="0" labelOnly="1" grandRow="1" outline="0" axis="axisRow" fieldPosition="0">
        <references count="1">
          <reference field="4294967294" count="1" selected="0">
            <x v="14"/>
          </reference>
        </references>
      </pivotArea>
    </format>
    <format dxfId="1284">
      <pivotArea field="0" dataOnly="0" labelOnly="1" grandRow="1" outline="0" axis="axisRow" fieldPosition="0">
        <references count="1">
          <reference field="4294967294" count="1" selected="0">
            <x v="15"/>
          </reference>
        </references>
      </pivotArea>
    </format>
    <format dxfId="1283">
      <pivotArea field="0" dataOnly="0" labelOnly="1" grandRow="1" outline="0" axis="axisRow" fieldPosition="0">
        <references count="1">
          <reference field="4294967294" count="1" selected="0">
            <x v="16"/>
          </reference>
        </references>
      </pivotArea>
    </format>
    <format dxfId="1282">
      <pivotArea field="0" dataOnly="0" labelOnly="1" grandRow="1" outline="0" axis="axisRow" fieldPosition="0">
        <references count="1">
          <reference field="4294967294" count="1" selected="0">
            <x v="17"/>
          </reference>
        </references>
      </pivotArea>
    </format>
    <format dxfId="1281">
      <pivotArea field="0" dataOnly="0" labelOnly="1" grandRow="1" outline="0" axis="axisRow" fieldPosition="0">
        <references count="1">
          <reference field="4294967294" count="1" selected="0">
            <x v="18"/>
          </reference>
        </references>
      </pivotArea>
    </format>
    <format dxfId="1280">
      <pivotArea field="0" dataOnly="0" labelOnly="1" grandRow="1" outline="0" axis="axisRow" fieldPosition="0">
        <references count="1">
          <reference field="4294967294" count="1" selected="0">
            <x v="19"/>
          </reference>
        </references>
      </pivotArea>
    </format>
    <format dxfId="1279">
      <pivotArea field="0" dataOnly="0" labelOnly="1" grandRow="1" outline="0" axis="axisRow" fieldPosition="0">
        <references count="1">
          <reference field="4294967294" count="1" selected="0">
            <x v="20"/>
          </reference>
        </references>
      </pivotArea>
    </format>
    <format dxfId="1278">
      <pivotArea field="0" dataOnly="0" labelOnly="1" grandRow="1" outline="0" axis="axisRow" fieldPosition="0">
        <references count="1">
          <reference field="4294967294" count="1" selected="0">
            <x v="21"/>
          </reference>
        </references>
      </pivotArea>
    </format>
    <format dxfId="1277">
      <pivotArea field="0" dataOnly="0" labelOnly="1" grandRow="1" outline="0" axis="axisRow" fieldPosition="0">
        <references count="1">
          <reference field="4294967294" count="1" selected="0">
            <x v="22"/>
          </reference>
        </references>
      </pivotArea>
    </format>
    <format dxfId="1276">
      <pivotArea field="0" dataOnly="0" labelOnly="1" grandRow="1" outline="0" axis="axisRow" fieldPosition="0">
        <references count="1">
          <reference field="4294967294" count="1" selected="0">
            <x v="23"/>
          </reference>
        </references>
      </pivotArea>
    </format>
    <format dxfId="1275">
      <pivotArea field="0" dataOnly="0" labelOnly="1" grandRow="1" outline="0" axis="axisRow" fieldPosition="0">
        <references count="1">
          <reference field="4294967294" count="1" selected="0">
            <x v="24"/>
          </reference>
        </references>
      </pivotArea>
    </format>
    <format dxfId="1274">
      <pivotArea field="0" dataOnly="0" labelOnly="1" grandRow="1" outline="0" axis="axisRow" fieldPosition="0">
        <references count="1">
          <reference field="4294967294" count="1" selected="0">
            <x v="25"/>
          </reference>
        </references>
      </pivotArea>
    </format>
    <format dxfId="1273">
      <pivotArea field="0" dataOnly="0" labelOnly="1" grandRow="1" outline="0" axis="axisRow" fieldPosition="0">
        <references count="1">
          <reference field="4294967294" count="1" selected="0">
            <x v="26"/>
          </reference>
        </references>
      </pivotArea>
    </format>
    <format dxfId="1272">
      <pivotArea field="0" dataOnly="0" labelOnly="1" grandRow="1" outline="0" axis="axisRow" fieldPosition="0">
        <references count="1">
          <reference field="4294967294" count="1" selected="0">
            <x v="27"/>
          </reference>
        </references>
      </pivotArea>
    </format>
    <format dxfId="1271">
      <pivotArea field="0" dataOnly="0" labelOnly="1" grandRow="1" outline="0" axis="axisRow" fieldPosition="0">
        <references count="1">
          <reference field="4294967294" count="1" selected="0">
            <x v="28"/>
          </reference>
        </references>
      </pivotArea>
    </format>
    <format dxfId="1270">
      <pivotArea field="0" dataOnly="0" labelOnly="1" grandRow="1" outline="0" axis="axisRow" fieldPosition="0">
        <references count="1">
          <reference field="4294967294" count="1" selected="0">
            <x v="29"/>
          </reference>
        </references>
      </pivotArea>
    </format>
    <format dxfId="1269">
      <pivotArea field="0" dataOnly="0" labelOnly="1" grandRow="1" outline="0" axis="axisRow" fieldPosition="0">
        <references count="1">
          <reference field="4294967294" count="1" selected="0">
            <x v="30"/>
          </reference>
        </references>
      </pivotArea>
    </format>
    <format dxfId="1268">
      <pivotArea field="0" dataOnly="0" labelOnly="1" grandRow="1" outline="0" axis="axisRow" fieldPosition="0">
        <references count="1">
          <reference field="4294967294" count="1" selected="0">
            <x v="31"/>
          </reference>
        </references>
      </pivotArea>
    </format>
    <format dxfId="1267">
      <pivotArea field="0" dataOnly="0" labelOnly="1" grandRow="1" outline="0" axis="axisRow" fieldPosition="0">
        <references count="1">
          <reference field="4294967294" count="1" selected="0">
            <x v="32"/>
          </reference>
        </references>
      </pivotArea>
    </format>
    <format dxfId="1266">
      <pivotArea field="0" dataOnly="0" labelOnly="1" grandRow="1" outline="0" axis="axisRow" fieldPosition="0">
        <references count="1">
          <reference field="4294967294" count="1" selected="0">
            <x v="33"/>
          </reference>
        </references>
      </pivotArea>
    </format>
    <format dxfId="1265">
      <pivotArea field="0" dataOnly="0" labelOnly="1" grandRow="1" outline="0" axis="axisRow" fieldPosition="0">
        <references count="1">
          <reference field="4294967294" count="1" selected="0">
            <x v="34"/>
          </reference>
        </references>
      </pivotArea>
    </format>
    <format dxfId="1264">
      <pivotArea field="0" dataOnly="0" labelOnly="1" grandRow="1" outline="0" axis="axisRow" fieldPosition="0">
        <references count="1">
          <reference field="4294967294" count="1" selected="0">
            <x v="35"/>
          </reference>
        </references>
      </pivotArea>
    </format>
    <format dxfId="1263">
      <pivotArea field="0" dataOnly="0" labelOnly="1" grandRow="1" outline="0" axis="axisRow" fieldPosition="0">
        <references count="1">
          <reference field="4294967294" count="1" selected="0">
            <x v="0"/>
          </reference>
        </references>
      </pivotArea>
    </format>
    <format dxfId="1262">
      <pivotArea field="0" dataOnly="0" labelOnly="1" grandRow="1" outline="0" axis="axisRow" fieldPosition="0">
        <references count="1">
          <reference field="4294967294" count="1" selected="0">
            <x v="1"/>
          </reference>
        </references>
      </pivotArea>
    </format>
    <format dxfId="1261">
      <pivotArea field="0" dataOnly="0" labelOnly="1" grandRow="1" outline="0" axis="axisRow" fieldPosition="0">
        <references count="1">
          <reference field="4294967294" count="1" selected="0">
            <x v="2"/>
          </reference>
        </references>
      </pivotArea>
    </format>
    <format dxfId="1260">
      <pivotArea field="0" dataOnly="0" labelOnly="1" grandRow="1" outline="0" axis="axisRow" fieldPosition="0">
        <references count="1">
          <reference field="4294967294" count="1" selected="0">
            <x v="3"/>
          </reference>
        </references>
      </pivotArea>
    </format>
    <format dxfId="1259">
      <pivotArea field="0" dataOnly="0" labelOnly="1" grandRow="1" outline="0" axis="axisRow" fieldPosition="0">
        <references count="1">
          <reference field="4294967294" count="1" selected="0">
            <x v="4"/>
          </reference>
        </references>
      </pivotArea>
    </format>
    <format dxfId="1258">
      <pivotArea field="0" dataOnly="0" labelOnly="1" grandRow="1" outline="0" axis="axisRow" fieldPosition="0">
        <references count="1">
          <reference field="4294967294" count="1" selected="0">
            <x v="5"/>
          </reference>
        </references>
      </pivotArea>
    </format>
    <format dxfId="1257">
      <pivotArea field="0" dataOnly="0" labelOnly="1" grandRow="1" outline="0" axis="axisRow" fieldPosition="0">
        <references count="1">
          <reference field="4294967294" count="1" selected="0">
            <x v="6"/>
          </reference>
        </references>
      </pivotArea>
    </format>
    <format dxfId="1256">
      <pivotArea field="0" dataOnly="0" labelOnly="1" grandRow="1" outline="0" axis="axisRow" fieldPosition="0">
        <references count="1">
          <reference field="4294967294" count="1" selected="0">
            <x v="7"/>
          </reference>
        </references>
      </pivotArea>
    </format>
    <format dxfId="1255">
      <pivotArea field="0" dataOnly="0" labelOnly="1" grandRow="1" outline="0" axis="axisRow" fieldPosition="0">
        <references count="1">
          <reference field="4294967294" count="1" selected="0">
            <x v="8"/>
          </reference>
        </references>
      </pivotArea>
    </format>
    <format dxfId="1254">
      <pivotArea field="0" dataOnly="0" labelOnly="1" grandRow="1" outline="0" axis="axisRow" fieldPosition="0">
        <references count="1">
          <reference field="4294967294" count="1" selected="0">
            <x v="9"/>
          </reference>
        </references>
      </pivotArea>
    </format>
    <format dxfId="1253">
      <pivotArea field="0" dataOnly="0" labelOnly="1" grandRow="1" outline="0" axis="axisRow" fieldPosition="0">
        <references count="1">
          <reference field="4294967294" count="1" selected="0">
            <x v="10"/>
          </reference>
        </references>
      </pivotArea>
    </format>
    <format dxfId="1252">
      <pivotArea field="0" dataOnly="0" labelOnly="1" grandRow="1" outline="0" axis="axisRow" fieldPosition="0">
        <references count="1">
          <reference field="4294967294" count="1" selected="0">
            <x v="11"/>
          </reference>
        </references>
      </pivotArea>
    </format>
    <format dxfId="1251">
      <pivotArea field="0" dataOnly="0" labelOnly="1" grandRow="1" outline="0" axis="axisRow" fieldPosition="0">
        <references count="1">
          <reference field="4294967294" count="1" selected="0">
            <x v="12"/>
          </reference>
        </references>
      </pivotArea>
    </format>
    <format dxfId="1250">
      <pivotArea field="0" dataOnly="0" labelOnly="1" grandRow="1" outline="0" axis="axisRow" fieldPosition="0">
        <references count="1">
          <reference field="4294967294" count="1" selected="0">
            <x v="13"/>
          </reference>
        </references>
      </pivotArea>
    </format>
    <format dxfId="1249">
      <pivotArea field="0" dataOnly="0" labelOnly="1" grandRow="1" outline="0" axis="axisRow" fieldPosition="0">
        <references count="1">
          <reference field="4294967294" count="1" selected="0">
            <x v="14"/>
          </reference>
        </references>
      </pivotArea>
    </format>
    <format dxfId="1248">
      <pivotArea field="0" dataOnly="0" labelOnly="1" grandRow="1" outline="0" axis="axisRow" fieldPosition="0">
        <references count="1">
          <reference field="4294967294" count="1" selected="0">
            <x v="15"/>
          </reference>
        </references>
      </pivotArea>
    </format>
    <format dxfId="1247">
      <pivotArea field="0" dataOnly="0" labelOnly="1" grandRow="1" outline="0" axis="axisRow" fieldPosition="0">
        <references count="1">
          <reference field="4294967294" count="1" selected="0">
            <x v="16"/>
          </reference>
        </references>
      </pivotArea>
    </format>
    <format dxfId="1246">
      <pivotArea field="0" dataOnly="0" labelOnly="1" grandRow="1" outline="0" axis="axisRow" fieldPosition="0">
        <references count="1">
          <reference field="4294967294" count="1" selected="0">
            <x v="17"/>
          </reference>
        </references>
      </pivotArea>
    </format>
    <format dxfId="1245">
      <pivotArea field="0" dataOnly="0" labelOnly="1" grandRow="1" outline="0" axis="axisRow" fieldPosition="0">
        <references count="1">
          <reference field="4294967294" count="1" selected="0">
            <x v="18"/>
          </reference>
        </references>
      </pivotArea>
    </format>
    <format dxfId="1244">
      <pivotArea field="0" dataOnly="0" labelOnly="1" grandRow="1" outline="0" axis="axisRow" fieldPosition="0">
        <references count="1">
          <reference field="4294967294" count="1" selected="0">
            <x v="19"/>
          </reference>
        </references>
      </pivotArea>
    </format>
    <format dxfId="1243">
      <pivotArea field="0" dataOnly="0" labelOnly="1" grandRow="1" outline="0" axis="axisRow" fieldPosition="0">
        <references count="1">
          <reference field="4294967294" count="1" selected="0">
            <x v="20"/>
          </reference>
        </references>
      </pivotArea>
    </format>
    <format dxfId="1242">
      <pivotArea field="0" dataOnly="0" labelOnly="1" grandRow="1" outline="0" axis="axisRow" fieldPosition="0">
        <references count="1">
          <reference field="4294967294" count="1" selected="0">
            <x v="21"/>
          </reference>
        </references>
      </pivotArea>
    </format>
    <format dxfId="1241">
      <pivotArea field="0" dataOnly="0" labelOnly="1" grandRow="1" outline="0" axis="axisRow" fieldPosition="0">
        <references count="1">
          <reference field="4294967294" count="1" selected="0">
            <x v="22"/>
          </reference>
        </references>
      </pivotArea>
    </format>
    <format dxfId="1240">
      <pivotArea field="0" dataOnly="0" labelOnly="1" grandRow="1" outline="0" axis="axisRow" fieldPosition="0">
        <references count="1">
          <reference field="4294967294" count="1" selected="0">
            <x v="23"/>
          </reference>
        </references>
      </pivotArea>
    </format>
    <format dxfId="1239">
      <pivotArea field="0" dataOnly="0" labelOnly="1" grandRow="1" outline="0" axis="axisRow" fieldPosition="0">
        <references count="1">
          <reference field="4294967294" count="1" selected="0">
            <x v="24"/>
          </reference>
        </references>
      </pivotArea>
    </format>
    <format dxfId="1238">
      <pivotArea field="0" dataOnly="0" labelOnly="1" grandRow="1" outline="0" axis="axisRow" fieldPosition="0">
        <references count="1">
          <reference field="4294967294" count="1" selected="0">
            <x v="25"/>
          </reference>
        </references>
      </pivotArea>
    </format>
    <format dxfId="1237">
      <pivotArea field="0" dataOnly="0" labelOnly="1" grandRow="1" outline="0" axis="axisRow" fieldPosition="0">
        <references count="1">
          <reference field="4294967294" count="1" selected="0">
            <x v="26"/>
          </reference>
        </references>
      </pivotArea>
    </format>
    <format dxfId="1236">
      <pivotArea field="0" dataOnly="0" labelOnly="1" grandRow="1" outline="0" axis="axisRow" fieldPosition="0">
        <references count="1">
          <reference field="4294967294" count="1" selected="0">
            <x v="27"/>
          </reference>
        </references>
      </pivotArea>
    </format>
    <format dxfId="1235">
      <pivotArea field="0" dataOnly="0" labelOnly="1" grandRow="1" outline="0" axis="axisRow" fieldPosition="0">
        <references count="1">
          <reference field="4294967294" count="1" selected="0">
            <x v="28"/>
          </reference>
        </references>
      </pivotArea>
    </format>
    <format dxfId="1234">
      <pivotArea field="0" dataOnly="0" labelOnly="1" grandRow="1" outline="0" axis="axisRow" fieldPosition="0">
        <references count="1">
          <reference field="4294967294" count="1" selected="0">
            <x v="29"/>
          </reference>
        </references>
      </pivotArea>
    </format>
    <format dxfId="1233">
      <pivotArea field="0" dataOnly="0" labelOnly="1" grandRow="1" outline="0" axis="axisRow" fieldPosition="0">
        <references count="1">
          <reference field="4294967294" count="1" selected="0">
            <x v="30"/>
          </reference>
        </references>
      </pivotArea>
    </format>
    <format dxfId="1232">
      <pivotArea field="0" dataOnly="0" labelOnly="1" grandRow="1" outline="0" axis="axisRow" fieldPosition="0">
        <references count="1">
          <reference field="4294967294" count="1" selected="0">
            <x v="31"/>
          </reference>
        </references>
      </pivotArea>
    </format>
    <format dxfId="1231">
      <pivotArea field="0" dataOnly="0" labelOnly="1" grandRow="1" outline="0" axis="axisRow" fieldPosition="0">
        <references count="1">
          <reference field="4294967294" count="1" selected="0">
            <x v="32"/>
          </reference>
        </references>
      </pivotArea>
    </format>
    <format dxfId="1230">
      <pivotArea field="0" dataOnly="0" labelOnly="1" grandRow="1" outline="0" axis="axisRow" fieldPosition="0">
        <references count="1">
          <reference field="4294967294" count="1" selected="0">
            <x v="33"/>
          </reference>
        </references>
      </pivotArea>
    </format>
    <format dxfId="1229">
      <pivotArea field="0" dataOnly="0" labelOnly="1" grandRow="1" outline="0" axis="axisRow" fieldPosition="0">
        <references count="1">
          <reference field="4294967294" count="1" selected="0">
            <x v="34"/>
          </reference>
        </references>
      </pivotArea>
    </format>
    <format dxfId="1228">
      <pivotArea field="0" dataOnly="0" labelOnly="1" grandRow="1" outline="0" axis="axisRow" fieldPosition="0">
        <references count="1">
          <reference field="4294967294" count="1" selected="0">
            <x v="35"/>
          </reference>
        </references>
      </pivotArea>
    </format>
    <format dxfId="1227">
      <pivotArea field="0" dataOnly="0" labelOnly="1" grandRow="1" outline="0" axis="axisRow" fieldPosition="0">
        <references count="1">
          <reference field="4294967294" count="1" selected="0">
            <x v="0"/>
          </reference>
        </references>
      </pivotArea>
    </format>
    <format dxfId="1226">
      <pivotArea field="0" dataOnly="0" labelOnly="1" grandRow="1" outline="0" axis="axisRow" fieldPosition="0">
        <references count="1">
          <reference field="4294967294" count="1" selected="0">
            <x v="1"/>
          </reference>
        </references>
      </pivotArea>
    </format>
    <format dxfId="1225">
      <pivotArea field="0" dataOnly="0" labelOnly="1" grandRow="1" outline="0" axis="axisRow" fieldPosition="0">
        <references count="1">
          <reference field="4294967294" count="1" selected="0">
            <x v="2"/>
          </reference>
        </references>
      </pivotArea>
    </format>
    <format dxfId="1224">
      <pivotArea field="0" dataOnly="0" labelOnly="1" grandRow="1" outline="0" axis="axisRow" fieldPosition="0">
        <references count="1">
          <reference field="4294967294" count="1" selected="0">
            <x v="3"/>
          </reference>
        </references>
      </pivotArea>
    </format>
    <format dxfId="1223">
      <pivotArea field="0" dataOnly="0" labelOnly="1" grandRow="1" outline="0" axis="axisRow" fieldPosition="0">
        <references count="1">
          <reference field="4294967294" count="1" selected="0">
            <x v="4"/>
          </reference>
        </references>
      </pivotArea>
    </format>
    <format dxfId="1222">
      <pivotArea field="0" dataOnly="0" labelOnly="1" grandRow="1" outline="0" axis="axisRow" fieldPosition="0">
        <references count="1">
          <reference field="4294967294" count="1" selected="0">
            <x v="5"/>
          </reference>
        </references>
      </pivotArea>
    </format>
    <format dxfId="1221">
      <pivotArea field="0" dataOnly="0" labelOnly="1" grandRow="1" outline="0" axis="axisRow" fieldPosition="0">
        <references count="1">
          <reference field="4294967294" count="1" selected="0">
            <x v="6"/>
          </reference>
        </references>
      </pivotArea>
    </format>
    <format dxfId="1220">
      <pivotArea field="0" dataOnly="0" labelOnly="1" grandRow="1" outline="0" axis="axisRow" fieldPosition="0">
        <references count="1">
          <reference field="4294967294" count="1" selected="0">
            <x v="7"/>
          </reference>
        </references>
      </pivotArea>
    </format>
    <format dxfId="1219">
      <pivotArea field="0" dataOnly="0" labelOnly="1" grandRow="1" outline="0" axis="axisRow" fieldPosition="0">
        <references count="1">
          <reference field="4294967294" count="1" selected="0">
            <x v="8"/>
          </reference>
        </references>
      </pivotArea>
    </format>
    <format dxfId="1218">
      <pivotArea field="0" dataOnly="0" labelOnly="1" grandRow="1" outline="0" axis="axisRow" fieldPosition="0">
        <references count="1">
          <reference field="4294967294" count="1" selected="0">
            <x v="9"/>
          </reference>
        </references>
      </pivotArea>
    </format>
    <format dxfId="1217">
      <pivotArea field="0" dataOnly="0" labelOnly="1" grandRow="1" outline="0" axis="axisRow" fieldPosition="0">
        <references count="1">
          <reference field="4294967294" count="1" selected="0">
            <x v="10"/>
          </reference>
        </references>
      </pivotArea>
    </format>
    <format dxfId="1216">
      <pivotArea field="0" dataOnly="0" labelOnly="1" grandRow="1" outline="0" axis="axisRow" fieldPosition="0">
        <references count="1">
          <reference field="4294967294" count="1" selected="0">
            <x v="11"/>
          </reference>
        </references>
      </pivotArea>
    </format>
    <format dxfId="1215">
      <pivotArea field="0" dataOnly="0" labelOnly="1" grandRow="1" outline="0" axis="axisRow" fieldPosition="0">
        <references count="1">
          <reference field="4294967294" count="1" selected="0">
            <x v="12"/>
          </reference>
        </references>
      </pivotArea>
    </format>
    <format dxfId="1214">
      <pivotArea field="0" dataOnly="0" labelOnly="1" grandRow="1" outline="0" axis="axisRow" fieldPosition="0">
        <references count="1">
          <reference field="4294967294" count="1" selected="0">
            <x v="13"/>
          </reference>
        </references>
      </pivotArea>
    </format>
    <format dxfId="1213">
      <pivotArea field="0" dataOnly="0" labelOnly="1" grandRow="1" outline="0" axis="axisRow" fieldPosition="0">
        <references count="1">
          <reference field="4294967294" count="1" selected="0">
            <x v="14"/>
          </reference>
        </references>
      </pivotArea>
    </format>
    <format dxfId="1212">
      <pivotArea field="0" dataOnly="0" labelOnly="1" grandRow="1" outline="0" axis="axisRow" fieldPosition="0">
        <references count="1">
          <reference field="4294967294" count="1" selected="0">
            <x v="15"/>
          </reference>
        </references>
      </pivotArea>
    </format>
    <format dxfId="1211">
      <pivotArea field="0" dataOnly="0" labelOnly="1" grandRow="1" outline="0" axis="axisRow" fieldPosition="0">
        <references count="1">
          <reference field="4294967294" count="1" selected="0">
            <x v="16"/>
          </reference>
        </references>
      </pivotArea>
    </format>
    <format dxfId="1210">
      <pivotArea field="0" dataOnly="0" labelOnly="1" grandRow="1" outline="0" axis="axisRow" fieldPosition="0">
        <references count="1">
          <reference field="4294967294" count="1" selected="0">
            <x v="17"/>
          </reference>
        </references>
      </pivotArea>
    </format>
    <format dxfId="1209">
      <pivotArea field="0" dataOnly="0" labelOnly="1" grandRow="1" outline="0" axis="axisRow" fieldPosition="0">
        <references count="1">
          <reference field="4294967294" count="1" selected="0">
            <x v="18"/>
          </reference>
        </references>
      </pivotArea>
    </format>
    <format dxfId="1208">
      <pivotArea field="0" dataOnly="0" labelOnly="1" grandRow="1" outline="0" axis="axisRow" fieldPosition="0">
        <references count="1">
          <reference field="4294967294" count="1" selected="0">
            <x v="19"/>
          </reference>
        </references>
      </pivotArea>
    </format>
    <format dxfId="1207">
      <pivotArea field="0" dataOnly="0" labelOnly="1" grandRow="1" outline="0" axis="axisRow" fieldPosition="0">
        <references count="1">
          <reference field="4294967294" count="1" selected="0">
            <x v="20"/>
          </reference>
        </references>
      </pivotArea>
    </format>
    <format dxfId="1206">
      <pivotArea field="0" dataOnly="0" labelOnly="1" grandRow="1" outline="0" axis="axisRow" fieldPosition="0">
        <references count="1">
          <reference field="4294967294" count="1" selected="0">
            <x v="21"/>
          </reference>
        </references>
      </pivotArea>
    </format>
    <format dxfId="1205">
      <pivotArea field="0" dataOnly="0" labelOnly="1" grandRow="1" outline="0" axis="axisRow" fieldPosition="0">
        <references count="1">
          <reference field="4294967294" count="1" selected="0">
            <x v="22"/>
          </reference>
        </references>
      </pivotArea>
    </format>
    <format dxfId="1204">
      <pivotArea field="0" dataOnly="0" labelOnly="1" grandRow="1" outline="0" axis="axisRow" fieldPosition="0">
        <references count="1">
          <reference field="4294967294" count="1" selected="0">
            <x v="23"/>
          </reference>
        </references>
      </pivotArea>
    </format>
    <format dxfId="1203">
      <pivotArea field="0" dataOnly="0" labelOnly="1" grandRow="1" outline="0" axis="axisRow" fieldPosition="0">
        <references count="1">
          <reference field="4294967294" count="1" selected="0">
            <x v="24"/>
          </reference>
        </references>
      </pivotArea>
    </format>
    <format dxfId="1202">
      <pivotArea field="0" dataOnly="0" labelOnly="1" grandRow="1" outline="0" axis="axisRow" fieldPosition="0">
        <references count="1">
          <reference field="4294967294" count="1" selected="0">
            <x v="25"/>
          </reference>
        </references>
      </pivotArea>
    </format>
    <format dxfId="1201">
      <pivotArea field="0" dataOnly="0" labelOnly="1" grandRow="1" outline="0" axis="axisRow" fieldPosition="0">
        <references count="1">
          <reference field="4294967294" count="1" selected="0">
            <x v="26"/>
          </reference>
        </references>
      </pivotArea>
    </format>
    <format dxfId="1200">
      <pivotArea field="0" dataOnly="0" labelOnly="1" grandRow="1" outline="0" axis="axisRow" fieldPosition="0">
        <references count="1">
          <reference field="4294967294" count="1" selected="0">
            <x v="27"/>
          </reference>
        </references>
      </pivotArea>
    </format>
    <format dxfId="1199">
      <pivotArea field="0" dataOnly="0" labelOnly="1" grandRow="1" outline="0" axis="axisRow" fieldPosition="0">
        <references count="1">
          <reference field="4294967294" count="1" selected="0">
            <x v="28"/>
          </reference>
        </references>
      </pivotArea>
    </format>
    <format dxfId="1198">
      <pivotArea field="0" dataOnly="0" labelOnly="1" grandRow="1" outline="0" axis="axisRow" fieldPosition="0">
        <references count="1">
          <reference field="4294967294" count="1" selected="0">
            <x v="29"/>
          </reference>
        </references>
      </pivotArea>
    </format>
    <format dxfId="1197">
      <pivotArea field="0" dataOnly="0" labelOnly="1" grandRow="1" outline="0" axis="axisRow" fieldPosition="0">
        <references count="1">
          <reference field="4294967294" count="1" selected="0">
            <x v="30"/>
          </reference>
        </references>
      </pivotArea>
    </format>
    <format dxfId="1196">
      <pivotArea field="0" dataOnly="0" labelOnly="1" grandRow="1" outline="0" axis="axisRow" fieldPosition="0">
        <references count="1">
          <reference field="4294967294" count="1" selected="0">
            <x v="31"/>
          </reference>
        </references>
      </pivotArea>
    </format>
    <format dxfId="1195">
      <pivotArea field="0" dataOnly="0" labelOnly="1" grandRow="1" outline="0" axis="axisRow" fieldPosition="0">
        <references count="1">
          <reference field="4294967294" count="1" selected="0">
            <x v="32"/>
          </reference>
        </references>
      </pivotArea>
    </format>
    <format dxfId="1194">
      <pivotArea field="0" dataOnly="0" labelOnly="1" grandRow="1" outline="0" axis="axisRow" fieldPosition="0">
        <references count="1">
          <reference field="4294967294" count="1" selected="0">
            <x v="33"/>
          </reference>
        </references>
      </pivotArea>
    </format>
    <format dxfId="1193">
      <pivotArea field="0" dataOnly="0" labelOnly="1" grandRow="1" outline="0" axis="axisRow" fieldPosition="0">
        <references count="1">
          <reference field="4294967294" count="1" selected="0">
            <x v="34"/>
          </reference>
        </references>
      </pivotArea>
    </format>
    <format dxfId="1192">
      <pivotArea field="0" dataOnly="0" labelOnly="1" grandRow="1" outline="0" axis="axisRow" fieldPosition="0">
        <references count="1">
          <reference field="4294967294" count="1" selected="0">
            <x v="35"/>
          </reference>
        </references>
      </pivotArea>
    </format>
    <format dxfId="1191">
      <pivotArea field="0" dataOnly="0" labelOnly="1" grandRow="1" outline="0" axis="axisRow" fieldPosition="0">
        <references count="1">
          <reference field="4294967294" count="1" selected="0">
            <x v="0"/>
          </reference>
        </references>
      </pivotArea>
    </format>
    <format dxfId="1190">
      <pivotArea field="0" dataOnly="0" labelOnly="1" grandRow="1" outline="0" axis="axisRow" fieldPosition="0">
        <references count="1">
          <reference field="4294967294" count="1" selected="0">
            <x v="1"/>
          </reference>
        </references>
      </pivotArea>
    </format>
    <format dxfId="1189">
      <pivotArea field="0" dataOnly="0" labelOnly="1" grandRow="1" outline="0" axis="axisRow" fieldPosition="0">
        <references count="1">
          <reference field="4294967294" count="1" selected="0">
            <x v="2"/>
          </reference>
        </references>
      </pivotArea>
    </format>
    <format dxfId="1188">
      <pivotArea field="0" dataOnly="0" labelOnly="1" grandRow="1" outline="0" axis="axisRow" fieldPosition="0">
        <references count="1">
          <reference field="4294967294" count="1" selected="0">
            <x v="3"/>
          </reference>
        </references>
      </pivotArea>
    </format>
    <format dxfId="1187">
      <pivotArea field="0" dataOnly="0" labelOnly="1" grandRow="1" outline="0" axis="axisRow" fieldPosition="0">
        <references count="1">
          <reference field="4294967294" count="1" selected="0">
            <x v="4"/>
          </reference>
        </references>
      </pivotArea>
    </format>
    <format dxfId="1186">
      <pivotArea field="0" dataOnly="0" labelOnly="1" grandRow="1" outline="0" axis="axisRow" fieldPosition="0">
        <references count="1">
          <reference field="4294967294" count="1" selected="0">
            <x v="5"/>
          </reference>
        </references>
      </pivotArea>
    </format>
    <format dxfId="1185">
      <pivotArea field="0" dataOnly="0" labelOnly="1" grandRow="1" outline="0" axis="axisRow" fieldPosition="0">
        <references count="1">
          <reference field="4294967294" count="1" selected="0">
            <x v="6"/>
          </reference>
        </references>
      </pivotArea>
    </format>
    <format dxfId="1184">
      <pivotArea field="0" dataOnly="0" labelOnly="1" grandRow="1" outline="0" axis="axisRow" fieldPosition="0">
        <references count="1">
          <reference field="4294967294" count="1" selected="0">
            <x v="7"/>
          </reference>
        </references>
      </pivotArea>
    </format>
    <format dxfId="1183">
      <pivotArea field="0" dataOnly="0" labelOnly="1" grandRow="1" outline="0" axis="axisRow" fieldPosition="0">
        <references count="1">
          <reference field="4294967294" count="1" selected="0">
            <x v="8"/>
          </reference>
        </references>
      </pivotArea>
    </format>
    <format dxfId="1182">
      <pivotArea field="0" dataOnly="0" labelOnly="1" grandRow="1" outline="0" axis="axisRow" fieldPosition="0">
        <references count="1">
          <reference field="4294967294" count="1" selected="0">
            <x v="9"/>
          </reference>
        </references>
      </pivotArea>
    </format>
    <format dxfId="1181">
      <pivotArea field="0" dataOnly="0" labelOnly="1" grandRow="1" outline="0" axis="axisRow" fieldPosition="0">
        <references count="1">
          <reference field="4294967294" count="1" selected="0">
            <x v="10"/>
          </reference>
        </references>
      </pivotArea>
    </format>
    <format dxfId="1180">
      <pivotArea field="0" dataOnly="0" labelOnly="1" grandRow="1" outline="0" axis="axisRow" fieldPosition="0">
        <references count="1">
          <reference field="4294967294" count="1" selected="0">
            <x v="11"/>
          </reference>
        </references>
      </pivotArea>
    </format>
    <format dxfId="1179">
      <pivotArea field="0" dataOnly="0" labelOnly="1" grandRow="1" outline="0" axis="axisRow" fieldPosition="0">
        <references count="1">
          <reference field="4294967294" count="1" selected="0">
            <x v="12"/>
          </reference>
        </references>
      </pivotArea>
    </format>
    <format dxfId="1178">
      <pivotArea field="0" dataOnly="0" labelOnly="1" grandRow="1" outline="0" axis="axisRow" fieldPosition="0">
        <references count="1">
          <reference field="4294967294" count="1" selected="0">
            <x v="13"/>
          </reference>
        </references>
      </pivotArea>
    </format>
    <format dxfId="1177">
      <pivotArea field="0" dataOnly="0" labelOnly="1" grandRow="1" outline="0" axis="axisRow" fieldPosition="0">
        <references count="1">
          <reference field="4294967294" count="1" selected="0">
            <x v="14"/>
          </reference>
        </references>
      </pivotArea>
    </format>
    <format dxfId="1176">
      <pivotArea field="0" dataOnly="0" labelOnly="1" grandRow="1" outline="0" axis="axisRow" fieldPosition="0">
        <references count="1">
          <reference field="4294967294" count="1" selected="0">
            <x v="15"/>
          </reference>
        </references>
      </pivotArea>
    </format>
    <format dxfId="1175">
      <pivotArea field="0" dataOnly="0" labelOnly="1" grandRow="1" outline="0" axis="axisRow" fieldPosition="0">
        <references count="1">
          <reference field="4294967294" count="1" selected="0">
            <x v="16"/>
          </reference>
        </references>
      </pivotArea>
    </format>
    <format dxfId="1174">
      <pivotArea field="0" dataOnly="0" labelOnly="1" grandRow="1" outline="0" axis="axisRow" fieldPosition="0">
        <references count="1">
          <reference field="4294967294" count="1" selected="0">
            <x v="17"/>
          </reference>
        </references>
      </pivotArea>
    </format>
    <format dxfId="1173">
      <pivotArea field="0" dataOnly="0" labelOnly="1" grandRow="1" outline="0" axis="axisRow" fieldPosition="0">
        <references count="1">
          <reference field="4294967294" count="1" selected="0">
            <x v="18"/>
          </reference>
        </references>
      </pivotArea>
    </format>
    <format dxfId="1172">
      <pivotArea field="0" dataOnly="0" labelOnly="1" grandRow="1" outline="0" axis="axisRow" fieldPosition="0">
        <references count="1">
          <reference field="4294967294" count="1" selected="0">
            <x v="19"/>
          </reference>
        </references>
      </pivotArea>
    </format>
    <format dxfId="1171">
      <pivotArea field="0" dataOnly="0" labelOnly="1" grandRow="1" outline="0" axis="axisRow" fieldPosition="0">
        <references count="1">
          <reference field="4294967294" count="1" selected="0">
            <x v="20"/>
          </reference>
        </references>
      </pivotArea>
    </format>
    <format dxfId="1170">
      <pivotArea field="0" dataOnly="0" labelOnly="1" grandRow="1" outline="0" axis="axisRow" fieldPosition="0">
        <references count="1">
          <reference field="4294967294" count="1" selected="0">
            <x v="21"/>
          </reference>
        </references>
      </pivotArea>
    </format>
    <format dxfId="1169">
      <pivotArea field="0" dataOnly="0" labelOnly="1" grandRow="1" outline="0" axis="axisRow" fieldPosition="0">
        <references count="1">
          <reference field="4294967294" count="1" selected="0">
            <x v="22"/>
          </reference>
        </references>
      </pivotArea>
    </format>
    <format dxfId="1168">
      <pivotArea field="0" dataOnly="0" labelOnly="1" grandRow="1" outline="0" axis="axisRow" fieldPosition="0">
        <references count="1">
          <reference field="4294967294" count="1" selected="0">
            <x v="23"/>
          </reference>
        </references>
      </pivotArea>
    </format>
    <format dxfId="1167">
      <pivotArea field="0" dataOnly="0" labelOnly="1" grandRow="1" outline="0" axis="axisRow" fieldPosition="0">
        <references count="1">
          <reference field="4294967294" count="1" selected="0">
            <x v="24"/>
          </reference>
        </references>
      </pivotArea>
    </format>
    <format dxfId="1166">
      <pivotArea field="0" dataOnly="0" labelOnly="1" grandRow="1" outline="0" axis="axisRow" fieldPosition="0">
        <references count="1">
          <reference field="4294967294" count="1" selected="0">
            <x v="25"/>
          </reference>
        </references>
      </pivotArea>
    </format>
    <format dxfId="1165">
      <pivotArea field="0" dataOnly="0" labelOnly="1" grandRow="1" outline="0" axis="axisRow" fieldPosition="0">
        <references count="1">
          <reference field="4294967294" count="1" selected="0">
            <x v="26"/>
          </reference>
        </references>
      </pivotArea>
    </format>
    <format dxfId="1164">
      <pivotArea field="0" dataOnly="0" labelOnly="1" grandRow="1" outline="0" axis="axisRow" fieldPosition="0">
        <references count="1">
          <reference field="4294967294" count="1" selected="0">
            <x v="27"/>
          </reference>
        </references>
      </pivotArea>
    </format>
    <format dxfId="1163">
      <pivotArea field="0" dataOnly="0" labelOnly="1" grandRow="1" outline="0" axis="axisRow" fieldPosition="0">
        <references count="1">
          <reference field="4294967294" count="1" selected="0">
            <x v="28"/>
          </reference>
        </references>
      </pivotArea>
    </format>
    <format dxfId="1162">
      <pivotArea field="0" dataOnly="0" labelOnly="1" grandRow="1" outline="0" axis="axisRow" fieldPosition="0">
        <references count="1">
          <reference field="4294967294" count="1" selected="0">
            <x v="29"/>
          </reference>
        </references>
      </pivotArea>
    </format>
    <format dxfId="1161">
      <pivotArea field="0" dataOnly="0" labelOnly="1" grandRow="1" outline="0" axis="axisRow" fieldPosition="0">
        <references count="1">
          <reference field="4294967294" count="1" selected="0">
            <x v="30"/>
          </reference>
        </references>
      </pivotArea>
    </format>
    <format dxfId="1160">
      <pivotArea field="0" dataOnly="0" labelOnly="1" grandRow="1" outline="0" axis="axisRow" fieldPosition="0">
        <references count="1">
          <reference field="4294967294" count="1" selected="0">
            <x v="31"/>
          </reference>
        </references>
      </pivotArea>
    </format>
    <format dxfId="1159">
      <pivotArea field="0" dataOnly="0" labelOnly="1" grandRow="1" outline="0" axis="axisRow" fieldPosition="0">
        <references count="1">
          <reference field="4294967294" count="1" selected="0">
            <x v="32"/>
          </reference>
        </references>
      </pivotArea>
    </format>
    <format dxfId="1158">
      <pivotArea field="0" dataOnly="0" labelOnly="1" grandRow="1" outline="0" axis="axisRow" fieldPosition="0">
        <references count="1">
          <reference field="4294967294" count="1" selected="0">
            <x v="33"/>
          </reference>
        </references>
      </pivotArea>
    </format>
    <format dxfId="1157">
      <pivotArea field="0" dataOnly="0" labelOnly="1" grandRow="1" outline="0" axis="axisRow" fieldPosition="0">
        <references count="1">
          <reference field="4294967294" count="1" selected="0">
            <x v="34"/>
          </reference>
        </references>
      </pivotArea>
    </format>
    <format dxfId="1156">
      <pivotArea field="0" dataOnly="0" labelOnly="1" grandRow="1" outline="0" axis="axisRow" fieldPosition="0">
        <references count="1">
          <reference field="4294967294" count="1" selected="0">
            <x v="35"/>
          </reference>
        </references>
      </pivotArea>
    </format>
    <format dxfId="1155">
      <pivotArea field="0" dataOnly="0" labelOnly="1" grandRow="1" outline="0" axis="axisRow" fieldPosition="0">
        <references count="1">
          <reference field="4294967294" count="1" selected="0">
            <x v="0"/>
          </reference>
        </references>
      </pivotArea>
    </format>
    <format dxfId="1154">
      <pivotArea field="0" dataOnly="0" labelOnly="1" grandRow="1" outline="0" axis="axisRow" fieldPosition="0">
        <references count="1">
          <reference field="4294967294" count="1" selected="0">
            <x v="1"/>
          </reference>
        </references>
      </pivotArea>
    </format>
    <format dxfId="1153">
      <pivotArea field="0" dataOnly="0" labelOnly="1" grandRow="1" outline="0" axis="axisRow" fieldPosition="0">
        <references count="1">
          <reference field="4294967294" count="1" selected="0">
            <x v="2"/>
          </reference>
        </references>
      </pivotArea>
    </format>
    <format dxfId="1152">
      <pivotArea field="0" dataOnly="0" labelOnly="1" grandRow="1" outline="0" axis="axisRow" fieldPosition="0">
        <references count="1">
          <reference field="4294967294" count="1" selected="0">
            <x v="3"/>
          </reference>
        </references>
      </pivotArea>
    </format>
    <format dxfId="1151">
      <pivotArea field="0" dataOnly="0" labelOnly="1" grandRow="1" outline="0" axis="axisRow" fieldPosition="0">
        <references count="1">
          <reference field="4294967294" count="1" selected="0">
            <x v="4"/>
          </reference>
        </references>
      </pivotArea>
    </format>
    <format dxfId="1150">
      <pivotArea field="0" dataOnly="0" labelOnly="1" grandRow="1" outline="0" axis="axisRow" fieldPosition="0">
        <references count="1">
          <reference field="4294967294" count="1" selected="0">
            <x v="5"/>
          </reference>
        </references>
      </pivotArea>
    </format>
    <format dxfId="1149">
      <pivotArea field="0" dataOnly="0" labelOnly="1" grandRow="1" outline="0" axis="axisRow" fieldPosition="0">
        <references count="1">
          <reference field="4294967294" count="1" selected="0">
            <x v="6"/>
          </reference>
        </references>
      </pivotArea>
    </format>
    <format dxfId="1148">
      <pivotArea field="0" dataOnly="0" labelOnly="1" grandRow="1" outline="0" axis="axisRow" fieldPosition="0">
        <references count="1">
          <reference field="4294967294" count="1" selected="0">
            <x v="7"/>
          </reference>
        </references>
      </pivotArea>
    </format>
    <format dxfId="1147">
      <pivotArea field="0" dataOnly="0" labelOnly="1" grandRow="1" outline="0" axis="axisRow" fieldPosition="0">
        <references count="1">
          <reference field="4294967294" count="1" selected="0">
            <x v="8"/>
          </reference>
        </references>
      </pivotArea>
    </format>
    <format dxfId="1146">
      <pivotArea field="0" dataOnly="0" labelOnly="1" grandRow="1" outline="0" axis="axisRow" fieldPosition="0">
        <references count="1">
          <reference field="4294967294" count="1" selected="0">
            <x v="9"/>
          </reference>
        </references>
      </pivotArea>
    </format>
    <format dxfId="1145">
      <pivotArea field="0" dataOnly="0" labelOnly="1" grandRow="1" outline="0" axis="axisRow" fieldPosition="0">
        <references count="1">
          <reference field="4294967294" count="1" selected="0">
            <x v="10"/>
          </reference>
        </references>
      </pivotArea>
    </format>
    <format dxfId="1144">
      <pivotArea field="0" dataOnly="0" labelOnly="1" grandRow="1" outline="0" axis="axisRow" fieldPosition="0">
        <references count="1">
          <reference field="4294967294" count="1" selected="0">
            <x v="11"/>
          </reference>
        </references>
      </pivotArea>
    </format>
    <format dxfId="1143">
      <pivotArea field="0" dataOnly="0" labelOnly="1" grandRow="1" outline="0" axis="axisRow" fieldPosition="0">
        <references count="1">
          <reference field="4294967294" count="1" selected="0">
            <x v="12"/>
          </reference>
        </references>
      </pivotArea>
    </format>
    <format dxfId="1142">
      <pivotArea field="0" dataOnly="0" labelOnly="1" grandRow="1" outline="0" axis="axisRow" fieldPosition="0">
        <references count="1">
          <reference field="4294967294" count="1" selected="0">
            <x v="13"/>
          </reference>
        </references>
      </pivotArea>
    </format>
    <format dxfId="1141">
      <pivotArea field="0" dataOnly="0" labelOnly="1" grandRow="1" outline="0" axis="axisRow" fieldPosition="0">
        <references count="1">
          <reference field="4294967294" count="1" selected="0">
            <x v="14"/>
          </reference>
        </references>
      </pivotArea>
    </format>
    <format dxfId="1140">
      <pivotArea field="0" dataOnly="0" labelOnly="1" grandRow="1" outline="0" axis="axisRow" fieldPosition="0">
        <references count="1">
          <reference field="4294967294" count="1" selected="0">
            <x v="15"/>
          </reference>
        </references>
      </pivotArea>
    </format>
    <format dxfId="1139">
      <pivotArea field="0" dataOnly="0" labelOnly="1" grandRow="1" outline="0" axis="axisRow" fieldPosition="0">
        <references count="1">
          <reference field="4294967294" count="1" selected="0">
            <x v="16"/>
          </reference>
        </references>
      </pivotArea>
    </format>
    <format dxfId="1138">
      <pivotArea field="0" dataOnly="0" labelOnly="1" grandRow="1" outline="0" axis="axisRow" fieldPosition="0">
        <references count="1">
          <reference field="4294967294" count="1" selected="0">
            <x v="17"/>
          </reference>
        </references>
      </pivotArea>
    </format>
    <format dxfId="1137">
      <pivotArea field="0" dataOnly="0" labelOnly="1" grandRow="1" outline="0" axis="axisRow" fieldPosition="0">
        <references count="1">
          <reference field="4294967294" count="1" selected="0">
            <x v="18"/>
          </reference>
        </references>
      </pivotArea>
    </format>
    <format dxfId="1136">
      <pivotArea field="0" dataOnly="0" labelOnly="1" grandRow="1" outline="0" axis="axisRow" fieldPosition="0">
        <references count="1">
          <reference field="4294967294" count="1" selected="0">
            <x v="19"/>
          </reference>
        </references>
      </pivotArea>
    </format>
    <format dxfId="1135">
      <pivotArea field="0" dataOnly="0" labelOnly="1" grandRow="1" outline="0" axis="axisRow" fieldPosition="0">
        <references count="1">
          <reference field="4294967294" count="1" selected="0">
            <x v="20"/>
          </reference>
        </references>
      </pivotArea>
    </format>
    <format dxfId="1134">
      <pivotArea field="0" dataOnly="0" labelOnly="1" grandRow="1" outline="0" axis="axisRow" fieldPosition="0">
        <references count="1">
          <reference field="4294967294" count="1" selected="0">
            <x v="21"/>
          </reference>
        </references>
      </pivotArea>
    </format>
    <format dxfId="1133">
      <pivotArea field="0" dataOnly="0" labelOnly="1" grandRow="1" outline="0" axis="axisRow" fieldPosition="0">
        <references count="1">
          <reference field="4294967294" count="1" selected="0">
            <x v="22"/>
          </reference>
        </references>
      </pivotArea>
    </format>
    <format dxfId="1132">
      <pivotArea field="0" dataOnly="0" labelOnly="1" grandRow="1" outline="0" axis="axisRow" fieldPosition="0">
        <references count="1">
          <reference field="4294967294" count="1" selected="0">
            <x v="23"/>
          </reference>
        </references>
      </pivotArea>
    </format>
    <format dxfId="1131">
      <pivotArea field="0" dataOnly="0" labelOnly="1" grandRow="1" outline="0" axis="axisRow" fieldPosition="0">
        <references count="1">
          <reference field="4294967294" count="1" selected="0">
            <x v="24"/>
          </reference>
        </references>
      </pivotArea>
    </format>
    <format dxfId="1130">
      <pivotArea field="0" dataOnly="0" labelOnly="1" grandRow="1" outline="0" axis="axisRow" fieldPosition="0">
        <references count="1">
          <reference field="4294967294" count="1" selected="0">
            <x v="25"/>
          </reference>
        </references>
      </pivotArea>
    </format>
    <format dxfId="1129">
      <pivotArea field="0" dataOnly="0" labelOnly="1" grandRow="1" outline="0" axis="axisRow" fieldPosition="0">
        <references count="1">
          <reference field="4294967294" count="1" selected="0">
            <x v="26"/>
          </reference>
        </references>
      </pivotArea>
    </format>
    <format dxfId="1128">
      <pivotArea field="0" dataOnly="0" labelOnly="1" grandRow="1" outline="0" axis="axisRow" fieldPosition="0">
        <references count="1">
          <reference field="4294967294" count="1" selected="0">
            <x v="27"/>
          </reference>
        </references>
      </pivotArea>
    </format>
    <format dxfId="1127">
      <pivotArea field="0" dataOnly="0" labelOnly="1" grandRow="1" outline="0" axis="axisRow" fieldPosition="0">
        <references count="1">
          <reference field="4294967294" count="1" selected="0">
            <x v="28"/>
          </reference>
        </references>
      </pivotArea>
    </format>
    <format dxfId="1126">
      <pivotArea field="0" dataOnly="0" labelOnly="1" grandRow="1" outline="0" axis="axisRow" fieldPosition="0">
        <references count="1">
          <reference field="4294967294" count="1" selected="0">
            <x v="29"/>
          </reference>
        </references>
      </pivotArea>
    </format>
    <format dxfId="1125">
      <pivotArea field="0" dataOnly="0" labelOnly="1" grandRow="1" outline="0" axis="axisRow" fieldPosition="0">
        <references count="1">
          <reference field="4294967294" count="1" selected="0">
            <x v="30"/>
          </reference>
        </references>
      </pivotArea>
    </format>
    <format dxfId="1124">
      <pivotArea field="0" dataOnly="0" labelOnly="1" grandRow="1" outline="0" axis="axisRow" fieldPosition="0">
        <references count="1">
          <reference field="4294967294" count="1" selected="0">
            <x v="31"/>
          </reference>
        </references>
      </pivotArea>
    </format>
    <format dxfId="1123">
      <pivotArea field="0" dataOnly="0" labelOnly="1" grandRow="1" outline="0" axis="axisRow" fieldPosition="0">
        <references count="1">
          <reference field="4294967294" count="1" selected="0">
            <x v="32"/>
          </reference>
        </references>
      </pivotArea>
    </format>
    <format dxfId="1122">
      <pivotArea field="0" dataOnly="0" labelOnly="1" grandRow="1" outline="0" axis="axisRow" fieldPosition="0">
        <references count="1">
          <reference field="4294967294" count="1" selected="0">
            <x v="33"/>
          </reference>
        </references>
      </pivotArea>
    </format>
    <format dxfId="1121">
      <pivotArea field="0" dataOnly="0" labelOnly="1" grandRow="1" outline="0" axis="axisRow" fieldPosition="0">
        <references count="1">
          <reference field="4294967294" count="1" selected="0">
            <x v="34"/>
          </reference>
        </references>
      </pivotArea>
    </format>
    <format dxfId="1120">
      <pivotArea field="0" dataOnly="0" labelOnly="1" grandRow="1" outline="0" axis="axisRow" fieldPosition="0">
        <references count="1">
          <reference field="4294967294" count="1" selected="0">
            <x v="35"/>
          </reference>
        </references>
      </pivotArea>
    </format>
    <format dxfId="1119">
      <pivotArea field="0" dataOnly="0" labelOnly="1" grandRow="1" outline="0" axis="axisRow" fieldPosition="0">
        <references count="1">
          <reference field="4294967294" count="1" selected="0">
            <x v="0"/>
          </reference>
        </references>
      </pivotArea>
    </format>
    <format dxfId="1118">
      <pivotArea field="0" dataOnly="0" labelOnly="1" grandRow="1" outline="0" axis="axisRow" fieldPosition="0">
        <references count="1">
          <reference field="4294967294" count="1" selected="0">
            <x v="1"/>
          </reference>
        </references>
      </pivotArea>
    </format>
    <format dxfId="1117">
      <pivotArea field="0" dataOnly="0" labelOnly="1" grandRow="1" outline="0" axis="axisRow" fieldPosition="0">
        <references count="1">
          <reference field="4294967294" count="1" selected="0">
            <x v="2"/>
          </reference>
        </references>
      </pivotArea>
    </format>
    <format dxfId="1116">
      <pivotArea field="0" dataOnly="0" labelOnly="1" grandRow="1" outline="0" axis="axisRow" fieldPosition="0">
        <references count="1">
          <reference field="4294967294" count="1" selected="0">
            <x v="3"/>
          </reference>
        </references>
      </pivotArea>
    </format>
    <format dxfId="1115">
      <pivotArea field="0" dataOnly="0" labelOnly="1" grandRow="1" outline="0" axis="axisRow" fieldPosition="0">
        <references count="1">
          <reference field="4294967294" count="1" selected="0">
            <x v="4"/>
          </reference>
        </references>
      </pivotArea>
    </format>
    <format dxfId="1114">
      <pivotArea field="0" dataOnly="0" labelOnly="1" grandRow="1" outline="0" axis="axisRow" fieldPosition="0">
        <references count="1">
          <reference field="4294967294" count="1" selected="0">
            <x v="5"/>
          </reference>
        </references>
      </pivotArea>
    </format>
    <format dxfId="1113">
      <pivotArea field="0" dataOnly="0" labelOnly="1" grandRow="1" outline="0" axis="axisRow" fieldPosition="0">
        <references count="1">
          <reference field="4294967294" count="1" selected="0">
            <x v="6"/>
          </reference>
        </references>
      </pivotArea>
    </format>
    <format dxfId="1112">
      <pivotArea field="0" dataOnly="0" labelOnly="1" grandRow="1" outline="0" axis="axisRow" fieldPosition="0">
        <references count="1">
          <reference field="4294967294" count="1" selected="0">
            <x v="7"/>
          </reference>
        </references>
      </pivotArea>
    </format>
    <format dxfId="1111">
      <pivotArea field="0" dataOnly="0" labelOnly="1" grandRow="1" outline="0" axis="axisRow" fieldPosition="0">
        <references count="1">
          <reference field="4294967294" count="1" selected="0">
            <x v="8"/>
          </reference>
        </references>
      </pivotArea>
    </format>
    <format dxfId="1110">
      <pivotArea field="0" dataOnly="0" labelOnly="1" grandRow="1" outline="0" axis="axisRow" fieldPosition="0">
        <references count="1">
          <reference field="4294967294" count="1" selected="0">
            <x v="9"/>
          </reference>
        </references>
      </pivotArea>
    </format>
    <format dxfId="1109">
      <pivotArea field="0" dataOnly="0" labelOnly="1" grandRow="1" outline="0" axis="axisRow" fieldPosition="0">
        <references count="1">
          <reference field="4294967294" count="1" selected="0">
            <x v="10"/>
          </reference>
        </references>
      </pivotArea>
    </format>
    <format dxfId="1108">
      <pivotArea field="0" dataOnly="0" labelOnly="1" grandRow="1" outline="0" axis="axisRow" fieldPosition="0">
        <references count="1">
          <reference field="4294967294" count="1" selected="0">
            <x v="11"/>
          </reference>
        </references>
      </pivotArea>
    </format>
    <format dxfId="1107">
      <pivotArea field="0" dataOnly="0" labelOnly="1" grandRow="1" outline="0" axis="axisRow" fieldPosition="0">
        <references count="1">
          <reference field="4294967294" count="1" selected="0">
            <x v="12"/>
          </reference>
        </references>
      </pivotArea>
    </format>
    <format dxfId="1106">
      <pivotArea field="0" dataOnly="0" labelOnly="1" grandRow="1" outline="0" axis="axisRow" fieldPosition="0">
        <references count="1">
          <reference field="4294967294" count="1" selected="0">
            <x v="13"/>
          </reference>
        </references>
      </pivotArea>
    </format>
    <format dxfId="1105">
      <pivotArea field="0" dataOnly="0" labelOnly="1" grandRow="1" outline="0" axis="axisRow" fieldPosition="0">
        <references count="1">
          <reference field="4294967294" count="1" selected="0">
            <x v="14"/>
          </reference>
        </references>
      </pivotArea>
    </format>
    <format dxfId="1104">
      <pivotArea field="0" dataOnly="0" labelOnly="1" grandRow="1" outline="0" axis="axisRow" fieldPosition="0">
        <references count="1">
          <reference field="4294967294" count="1" selected="0">
            <x v="15"/>
          </reference>
        </references>
      </pivotArea>
    </format>
    <format dxfId="1103">
      <pivotArea field="0" dataOnly="0" labelOnly="1" grandRow="1" outline="0" axis="axisRow" fieldPosition="0">
        <references count="1">
          <reference field="4294967294" count="1" selected="0">
            <x v="16"/>
          </reference>
        </references>
      </pivotArea>
    </format>
    <format dxfId="1102">
      <pivotArea field="0" dataOnly="0" labelOnly="1" grandRow="1" outline="0" axis="axisRow" fieldPosition="0">
        <references count="1">
          <reference field="4294967294" count="1" selected="0">
            <x v="17"/>
          </reference>
        </references>
      </pivotArea>
    </format>
    <format dxfId="1101">
      <pivotArea field="0" dataOnly="0" labelOnly="1" grandRow="1" outline="0" axis="axisRow" fieldPosition="0">
        <references count="1">
          <reference field="4294967294" count="1" selected="0">
            <x v="18"/>
          </reference>
        </references>
      </pivotArea>
    </format>
    <format dxfId="1100">
      <pivotArea field="0" dataOnly="0" labelOnly="1" grandRow="1" outline="0" axis="axisRow" fieldPosition="0">
        <references count="1">
          <reference field="4294967294" count="1" selected="0">
            <x v="19"/>
          </reference>
        </references>
      </pivotArea>
    </format>
    <format dxfId="1099">
      <pivotArea field="0" dataOnly="0" labelOnly="1" grandRow="1" outline="0" axis="axisRow" fieldPosition="0">
        <references count="1">
          <reference field="4294967294" count="1" selected="0">
            <x v="20"/>
          </reference>
        </references>
      </pivotArea>
    </format>
    <format dxfId="1098">
      <pivotArea field="0" dataOnly="0" labelOnly="1" grandRow="1" outline="0" axis="axisRow" fieldPosition="0">
        <references count="1">
          <reference field="4294967294" count="1" selected="0">
            <x v="21"/>
          </reference>
        </references>
      </pivotArea>
    </format>
    <format dxfId="1097">
      <pivotArea field="0" dataOnly="0" labelOnly="1" grandRow="1" outline="0" axis="axisRow" fieldPosition="0">
        <references count="1">
          <reference field="4294967294" count="1" selected="0">
            <x v="22"/>
          </reference>
        </references>
      </pivotArea>
    </format>
    <format dxfId="1096">
      <pivotArea field="0" dataOnly="0" labelOnly="1" grandRow="1" outline="0" axis="axisRow" fieldPosition="0">
        <references count="1">
          <reference field="4294967294" count="1" selected="0">
            <x v="23"/>
          </reference>
        </references>
      </pivotArea>
    </format>
    <format dxfId="1095">
      <pivotArea field="0" dataOnly="0" labelOnly="1" grandRow="1" outline="0" axis="axisRow" fieldPosition="0">
        <references count="1">
          <reference field="4294967294" count="1" selected="0">
            <x v="24"/>
          </reference>
        </references>
      </pivotArea>
    </format>
    <format dxfId="1094">
      <pivotArea field="0" dataOnly="0" labelOnly="1" grandRow="1" outline="0" axis="axisRow" fieldPosition="0">
        <references count="1">
          <reference field="4294967294" count="1" selected="0">
            <x v="25"/>
          </reference>
        </references>
      </pivotArea>
    </format>
    <format dxfId="1093">
      <pivotArea field="0" dataOnly="0" labelOnly="1" grandRow="1" outline="0" axis="axisRow" fieldPosition="0">
        <references count="1">
          <reference field="4294967294" count="1" selected="0">
            <x v="26"/>
          </reference>
        </references>
      </pivotArea>
    </format>
    <format dxfId="1092">
      <pivotArea field="0" dataOnly="0" labelOnly="1" grandRow="1" outline="0" axis="axisRow" fieldPosition="0">
        <references count="1">
          <reference field="4294967294" count="1" selected="0">
            <x v="27"/>
          </reference>
        </references>
      </pivotArea>
    </format>
    <format dxfId="1091">
      <pivotArea field="0" dataOnly="0" labelOnly="1" grandRow="1" outline="0" axis="axisRow" fieldPosition="0">
        <references count="1">
          <reference field="4294967294" count="1" selected="0">
            <x v="28"/>
          </reference>
        </references>
      </pivotArea>
    </format>
    <format dxfId="1090">
      <pivotArea field="0" dataOnly="0" labelOnly="1" grandRow="1" outline="0" axis="axisRow" fieldPosition="0">
        <references count="1">
          <reference field="4294967294" count="1" selected="0">
            <x v="29"/>
          </reference>
        </references>
      </pivotArea>
    </format>
    <format dxfId="1089">
      <pivotArea field="0" dataOnly="0" labelOnly="1" grandRow="1" outline="0" axis="axisRow" fieldPosition="0">
        <references count="1">
          <reference field="4294967294" count="1" selected="0">
            <x v="30"/>
          </reference>
        </references>
      </pivotArea>
    </format>
    <format dxfId="1088">
      <pivotArea field="0" dataOnly="0" labelOnly="1" grandRow="1" outline="0" axis="axisRow" fieldPosition="0">
        <references count="1">
          <reference field="4294967294" count="1" selected="0">
            <x v="31"/>
          </reference>
        </references>
      </pivotArea>
    </format>
    <format dxfId="1087">
      <pivotArea field="0" dataOnly="0" labelOnly="1" grandRow="1" outline="0" axis="axisRow" fieldPosition="0">
        <references count="1">
          <reference field="4294967294" count="1" selected="0">
            <x v="32"/>
          </reference>
        </references>
      </pivotArea>
    </format>
    <format dxfId="1086">
      <pivotArea field="0" dataOnly="0" labelOnly="1" grandRow="1" outline="0" axis="axisRow" fieldPosition="0">
        <references count="1">
          <reference field="4294967294" count="1" selected="0">
            <x v="33"/>
          </reference>
        </references>
      </pivotArea>
    </format>
    <format dxfId="1085">
      <pivotArea field="0" dataOnly="0" labelOnly="1" grandRow="1" outline="0" axis="axisRow" fieldPosition="0">
        <references count="1">
          <reference field="4294967294" count="1" selected="0">
            <x v="34"/>
          </reference>
        </references>
      </pivotArea>
    </format>
    <format dxfId="1084">
      <pivotArea field="0" dataOnly="0" labelOnly="1" grandRow="1" outline="0" axis="axisRow" fieldPosition="0">
        <references count="1">
          <reference field="4294967294" count="1" selected="0">
            <x v="35"/>
          </reference>
        </references>
      </pivotArea>
    </format>
    <format dxfId="1083">
      <pivotArea field="0" dataOnly="0" labelOnly="1" grandRow="1" outline="0" axis="axisRow" fieldPosition="0">
        <references count="1">
          <reference field="4294967294" count="1" selected="0">
            <x v="0"/>
          </reference>
        </references>
      </pivotArea>
    </format>
    <format dxfId="1082">
      <pivotArea field="0" dataOnly="0" labelOnly="1" grandRow="1" outline="0" axis="axisRow" fieldPosition="0">
        <references count="1">
          <reference field="4294967294" count="1" selected="0">
            <x v="1"/>
          </reference>
        </references>
      </pivotArea>
    </format>
    <format dxfId="1081">
      <pivotArea field="0" dataOnly="0" labelOnly="1" grandRow="1" outline="0" axis="axisRow" fieldPosition="0">
        <references count="1">
          <reference field="4294967294" count="1" selected="0">
            <x v="2"/>
          </reference>
        </references>
      </pivotArea>
    </format>
    <format dxfId="1080">
      <pivotArea field="0" dataOnly="0" labelOnly="1" grandRow="1" outline="0" axis="axisRow" fieldPosition="0">
        <references count="1">
          <reference field="4294967294" count="1" selected="0">
            <x v="3"/>
          </reference>
        </references>
      </pivotArea>
    </format>
    <format dxfId="1079">
      <pivotArea field="0" dataOnly="0" labelOnly="1" grandRow="1" outline="0" axis="axisRow" fieldPosition="0">
        <references count="1">
          <reference field="4294967294" count="1" selected="0">
            <x v="4"/>
          </reference>
        </references>
      </pivotArea>
    </format>
    <format dxfId="1078">
      <pivotArea field="0" dataOnly="0" labelOnly="1" grandRow="1" outline="0" axis="axisRow" fieldPosition="0">
        <references count="1">
          <reference field="4294967294" count="1" selected="0">
            <x v="5"/>
          </reference>
        </references>
      </pivotArea>
    </format>
    <format dxfId="1077">
      <pivotArea field="0" dataOnly="0" labelOnly="1" grandRow="1" outline="0" axis="axisRow" fieldPosition="0">
        <references count="1">
          <reference field="4294967294" count="1" selected="0">
            <x v="6"/>
          </reference>
        </references>
      </pivotArea>
    </format>
    <format dxfId="1076">
      <pivotArea field="0" dataOnly="0" labelOnly="1" grandRow="1" outline="0" axis="axisRow" fieldPosition="0">
        <references count="1">
          <reference field="4294967294" count="1" selected="0">
            <x v="7"/>
          </reference>
        </references>
      </pivotArea>
    </format>
    <format dxfId="1075">
      <pivotArea field="0" dataOnly="0" labelOnly="1" grandRow="1" outline="0" axis="axisRow" fieldPosition="0">
        <references count="1">
          <reference field="4294967294" count="1" selected="0">
            <x v="8"/>
          </reference>
        </references>
      </pivotArea>
    </format>
    <format dxfId="1074">
      <pivotArea field="0" dataOnly="0" labelOnly="1" grandRow="1" outline="0" axis="axisRow" fieldPosition="0">
        <references count="1">
          <reference field="4294967294" count="1" selected="0">
            <x v="9"/>
          </reference>
        </references>
      </pivotArea>
    </format>
    <format dxfId="1073">
      <pivotArea field="0" dataOnly="0" labelOnly="1" grandRow="1" outline="0" axis="axisRow" fieldPosition="0">
        <references count="1">
          <reference field="4294967294" count="1" selected="0">
            <x v="10"/>
          </reference>
        </references>
      </pivotArea>
    </format>
    <format dxfId="1072">
      <pivotArea field="0" dataOnly="0" labelOnly="1" grandRow="1" outline="0" axis="axisRow" fieldPosition="0">
        <references count="1">
          <reference field="4294967294" count="1" selected="0">
            <x v="11"/>
          </reference>
        </references>
      </pivotArea>
    </format>
    <format dxfId="1071">
      <pivotArea field="0" dataOnly="0" labelOnly="1" grandRow="1" outline="0" axis="axisRow" fieldPosition="0">
        <references count="1">
          <reference field="4294967294" count="1" selected="0">
            <x v="12"/>
          </reference>
        </references>
      </pivotArea>
    </format>
    <format dxfId="1070">
      <pivotArea field="0" dataOnly="0" labelOnly="1" grandRow="1" outline="0" axis="axisRow" fieldPosition="0">
        <references count="1">
          <reference field="4294967294" count="1" selected="0">
            <x v="13"/>
          </reference>
        </references>
      </pivotArea>
    </format>
    <format dxfId="1069">
      <pivotArea field="0" dataOnly="0" labelOnly="1" grandRow="1" outline="0" axis="axisRow" fieldPosition="0">
        <references count="1">
          <reference field="4294967294" count="1" selected="0">
            <x v="14"/>
          </reference>
        </references>
      </pivotArea>
    </format>
    <format dxfId="1068">
      <pivotArea field="0" dataOnly="0" labelOnly="1" grandRow="1" outline="0" axis="axisRow" fieldPosition="0">
        <references count="1">
          <reference field="4294967294" count="1" selected="0">
            <x v="15"/>
          </reference>
        </references>
      </pivotArea>
    </format>
    <format dxfId="1067">
      <pivotArea field="0" dataOnly="0" labelOnly="1" grandRow="1" outline="0" axis="axisRow" fieldPosition="0">
        <references count="1">
          <reference field="4294967294" count="1" selected="0">
            <x v="16"/>
          </reference>
        </references>
      </pivotArea>
    </format>
    <format dxfId="1066">
      <pivotArea field="0" dataOnly="0" labelOnly="1" grandRow="1" outline="0" axis="axisRow" fieldPosition="0">
        <references count="1">
          <reference field="4294967294" count="1" selected="0">
            <x v="17"/>
          </reference>
        </references>
      </pivotArea>
    </format>
    <format dxfId="1065">
      <pivotArea field="0" dataOnly="0" labelOnly="1" grandRow="1" outline="0" axis="axisRow" fieldPosition="0">
        <references count="1">
          <reference field="4294967294" count="1" selected="0">
            <x v="18"/>
          </reference>
        </references>
      </pivotArea>
    </format>
    <format dxfId="1064">
      <pivotArea field="0" dataOnly="0" labelOnly="1" grandRow="1" outline="0" axis="axisRow" fieldPosition="0">
        <references count="1">
          <reference field="4294967294" count="1" selected="0">
            <x v="19"/>
          </reference>
        </references>
      </pivotArea>
    </format>
    <format dxfId="1063">
      <pivotArea field="0" dataOnly="0" labelOnly="1" grandRow="1" outline="0" axis="axisRow" fieldPosition="0">
        <references count="1">
          <reference field="4294967294" count="1" selected="0">
            <x v="20"/>
          </reference>
        </references>
      </pivotArea>
    </format>
    <format dxfId="1062">
      <pivotArea field="0" dataOnly="0" labelOnly="1" grandRow="1" outline="0" axis="axisRow" fieldPosition="0">
        <references count="1">
          <reference field="4294967294" count="1" selected="0">
            <x v="21"/>
          </reference>
        </references>
      </pivotArea>
    </format>
    <format dxfId="1061">
      <pivotArea field="0" dataOnly="0" labelOnly="1" grandRow="1" outline="0" axis="axisRow" fieldPosition="0">
        <references count="1">
          <reference field="4294967294" count="1" selected="0">
            <x v="22"/>
          </reference>
        </references>
      </pivotArea>
    </format>
    <format dxfId="1060">
      <pivotArea field="0" dataOnly="0" labelOnly="1" grandRow="1" outline="0" axis="axisRow" fieldPosition="0">
        <references count="1">
          <reference field="4294967294" count="1" selected="0">
            <x v="23"/>
          </reference>
        </references>
      </pivotArea>
    </format>
    <format dxfId="1059">
      <pivotArea field="0" dataOnly="0" labelOnly="1" grandRow="1" outline="0" axis="axisRow" fieldPosition="0">
        <references count="1">
          <reference field="4294967294" count="1" selected="0">
            <x v="24"/>
          </reference>
        </references>
      </pivotArea>
    </format>
    <format dxfId="1058">
      <pivotArea field="0" dataOnly="0" labelOnly="1" grandRow="1" outline="0" axis="axisRow" fieldPosition="0">
        <references count="1">
          <reference field="4294967294" count="1" selected="0">
            <x v="25"/>
          </reference>
        </references>
      </pivotArea>
    </format>
    <format dxfId="1057">
      <pivotArea field="0" dataOnly="0" labelOnly="1" grandRow="1" outline="0" axis="axisRow" fieldPosition="0">
        <references count="1">
          <reference field="4294967294" count="1" selected="0">
            <x v="26"/>
          </reference>
        </references>
      </pivotArea>
    </format>
    <format dxfId="1056">
      <pivotArea field="0" dataOnly="0" labelOnly="1" grandRow="1" outline="0" axis="axisRow" fieldPosition="0">
        <references count="1">
          <reference field="4294967294" count="1" selected="0">
            <x v="27"/>
          </reference>
        </references>
      </pivotArea>
    </format>
    <format dxfId="1055">
      <pivotArea field="0" dataOnly="0" labelOnly="1" grandRow="1" outline="0" axis="axisRow" fieldPosition="0">
        <references count="1">
          <reference field="4294967294" count="1" selected="0">
            <x v="28"/>
          </reference>
        </references>
      </pivotArea>
    </format>
    <format dxfId="1054">
      <pivotArea field="0" dataOnly="0" labelOnly="1" grandRow="1" outline="0" axis="axisRow" fieldPosition="0">
        <references count="1">
          <reference field="4294967294" count="1" selected="0">
            <x v="29"/>
          </reference>
        </references>
      </pivotArea>
    </format>
    <format dxfId="1053">
      <pivotArea field="0" dataOnly="0" labelOnly="1" grandRow="1" outline="0" axis="axisRow" fieldPosition="0">
        <references count="1">
          <reference field="4294967294" count="1" selected="0">
            <x v="30"/>
          </reference>
        </references>
      </pivotArea>
    </format>
    <format dxfId="1052">
      <pivotArea field="0" dataOnly="0" labelOnly="1" grandRow="1" outline="0" axis="axisRow" fieldPosition="0">
        <references count="1">
          <reference field="4294967294" count="1" selected="0">
            <x v="31"/>
          </reference>
        </references>
      </pivotArea>
    </format>
    <format dxfId="1051">
      <pivotArea field="0" dataOnly="0" labelOnly="1" grandRow="1" outline="0" axis="axisRow" fieldPosition="0">
        <references count="1">
          <reference field="4294967294" count="1" selected="0">
            <x v="32"/>
          </reference>
        </references>
      </pivotArea>
    </format>
    <format dxfId="1050">
      <pivotArea field="0" dataOnly="0" labelOnly="1" grandRow="1" outline="0" axis="axisRow" fieldPosition="0">
        <references count="1">
          <reference field="4294967294" count="1" selected="0">
            <x v="33"/>
          </reference>
        </references>
      </pivotArea>
    </format>
    <format dxfId="1049">
      <pivotArea field="0" dataOnly="0" labelOnly="1" grandRow="1" outline="0" axis="axisRow" fieldPosition="0">
        <references count="1">
          <reference field="4294967294" count="1" selected="0">
            <x v="34"/>
          </reference>
        </references>
      </pivotArea>
    </format>
    <format dxfId="1048">
      <pivotArea field="0" dataOnly="0" labelOnly="1" grandRow="1" outline="0" axis="axisRow" fieldPosition="0">
        <references count="1">
          <reference field="4294967294" count="1" selected="0">
            <x v="35"/>
          </reference>
        </references>
      </pivotArea>
    </format>
    <format dxfId="1047">
      <pivotArea field="0" dataOnly="0" labelOnly="1" grandRow="1" outline="0" axis="axisRow" fieldPosition="0">
        <references count="1">
          <reference field="4294967294" count="1" selected="0">
            <x v="0"/>
          </reference>
        </references>
      </pivotArea>
    </format>
    <format dxfId="1046">
      <pivotArea field="0" dataOnly="0" labelOnly="1" grandRow="1" outline="0" axis="axisRow" fieldPosition="0">
        <references count="1">
          <reference field="4294967294" count="1" selected="0">
            <x v="1"/>
          </reference>
        </references>
      </pivotArea>
    </format>
    <format dxfId="1045">
      <pivotArea field="0" dataOnly="0" labelOnly="1" grandRow="1" outline="0" axis="axisRow" fieldPosition="0">
        <references count="1">
          <reference field="4294967294" count="1" selected="0">
            <x v="2"/>
          </reference>
        </references>
      </pivotArea>
    </format>
    <format dxfId="1044">
      <pivotArea field="0" dataOnly="0" labelOnly="1" grandRow="1" outline="0" axis="axisRow" fieldPosition="0">
        <references count="1">
          <reference field="4294967294" count="1" selected="0">
            <x v="3"/>
          </reference>
        </references>
      </pivotArea>
    </format>
    <format dxfId="1043">
      <pivotArea field="0" dataOnly="0" labelOnly="1" grandRow="1" outline="0" axis="axisRow" fieldPosition="0">
        <references count="1">
          <reference field="4294967294" count="1" selected="0">
            <x v="4"/>
          </reference>
        </references>
      </pivotArea>
    </format>
    <format dxfId="1042">
      <pivotArea field="0" dataOnly="0" labelOnly="1" grandRow="1" outline="0" axis="axisRow" fieldPosition="0">
        <references count="1">
          <reference field="4294967294" count="1" selected="0">
            <x v="5"/>
          </reference>
        </references>
      </pivotArea>
    </format>
    <format dxfId="1041">
      <pivotArea field="0" dataOnly="0" labelOnly="1" grandRow="1" outline="0" axis="axisRow" fieldPosition="0">
        <references count="1">
          <reference field="4294967294" count="1" selected="0">
            <x v="6"/>
          </reference>
        </references>
      </pivotArea>
    </format>
    <format dxfId="1040">
      <pivotArea field="0" dataOnly="0" labelOnly="1" grandRow="1" outline="0" axis="axisRow" fieldPosition="0">
        <references count="1">
          <reference field="4294967294" count="1" selected="0">
            <x v="7"/>
          </reference>
        </references>
      </pivotArea>
    </format>
    <format dxfId="1039">
      <pivotArea field="0" dataOnly="0" labelOnly="1" grandRow="1" outline="0" axis="axisRow" fieldPosition="0">
        <references count="1">
          <reference field="4294967294" count="1" selected="0">
            <x v="8"/>
          </reference>
        </references>
      </pivotArea>
    </format>
    <format dxfId="1038">
      <pivotArea field="0" dataOnly="0" labelOnly="1" grandRow="1" outline="0" axis="axisRow" fieldPosition="0">
        <references count="1">
          <reference field="4294967294" count="1" selected="0">
            <x v="9"/>
          </reference>
        </references>
      </pivotArea>
    </format>
    <format dxfId="1037">
      <pivotArea field="0" dataOnly="0" labelOnly="1" grandRow="1" outline="0" axis="axisRow" fieldPosition="0">
        <references count="1">
          <reference field="4294967294" count="1" selected="0">
            <x v="10"/>
          </reference>
        </references>
      </pivotArea>
    </format>
    <format dxfId="1036">
      <pivotArea field="0" dataOnly="0" labelOnly="1" grandRow="1" outline="0" axis="axisRow" fieldPosition="0">
        <references count="1">
          <reference field="4294967294" count="1" selected="0">
            <x v="11"/>
          </reference>
        </references>
      </pivotArea>
    </format>
    <format dxfId="1035">
      <pivotArea field="0" dataOnly="0" labelOnly="1" grandRow="1" outline="0" axis="axisRow" fieldPosition="0">
        <references count="1">
          <reference field="4294967294" count="1" selected="0">
            <x v="12"/>
          </reference>
        </references>
      </pivotArea>
    </format>
    <format dxfId="1034">
      <pivotArea field="0" dataOnly="0" labelOnly="1" grandRow="1" outline="0" axis="axisRow" fieldPosition="0">
        <references count="1">
          <reference field="4294967294" count="1" selected="0">
            <x v="13"/>
          </reference>
        </references>
      </pivotArea>
    </format>
    <format dxfId="1033">
      <pivotArea field="0" dataOnly="0" labelOnly="1" grandRow="1" outline="0" axis="axisRow" fieldPosition="0">
        <references count="1">
          <reference field="4294967294" count="1" selected="0">
            <x v="14"/>
          </reference>
        </references>
      </pivotArea>
    </format>
    <format dxfId="1032">
      <pivotArea field="0" dataOnly="0" labelOnly="1" grandRow="1" outline="0" axis="axisRow" fieldPosition="0">
        <references count="1">
          <reference field="4294967294" count="1" selected="0">
            <x v="15"/>
          </reference>
        </references>
      </pivotArea>
    </format>
    <format dxfId="1031">
      <pivotArea field="0" dataOnly="0" labelOnly="1" grandRow="1" outline="0" axis="axisRow" fieldPosition="0">
        <references count="1">
          <reference field="4294967294" count="1" selected="0">
            <x v="16"/>
          </reference>
        </references>
      </pivotArea>
    </format>
    <format dxfId="1030">
      <pivotArea field="0" dataOnly="0" labelOnly="1" grandRow="1" outline="0" axis="axisRow" fieldPosition="0">
        <references count="1">
          <reference field="4294967294" count="1" selected="0">
            <x v="17"/>
          </reference>
        </references>
      </pivotArea>
    </format>
    <format dxfId="1029">
      <pivotArea field="0" dataOnly="0" labelOnly="1" grandRow="1" outline="0" axis="axisRow" fieldPosition="0">
        <references count="1">
          <reference field="4294967294" count="1" selected="0">
            <x v="18"/>
          </reference>
        </references>
      </pivotArea>
    </format>
    <format dxfId="1028">
      <pivotArea field="0" dataOnly="0" labelOnly="1" grandRow="1" outline="0" axis="axisRow" fieldPosition="0">
        <references count="1">
          <reference field="4294967294" count="1" selected="0">
            <x v="19"/>
          </reference>
        </references>
      </pivotArea>
    </format>
    <format dxfId="1027">
      <pivotArea field="0" dataOnly="0" labelOnly="1" grandRow="1" outline="0" axis="axisRow" fieldPosition="0">
        <references count="1">
          <reference field="4294967294" count="1" selected="0">
            <x v="20"/>
          </reference>
        </references>
      </pivotArea>
    </format>
    <format dxfId="1026">
      <pivotArea field="0" dataOnly="0" labelOnly="1" grandRow="1" outline="0" axis="axisRow" fieldPosition="0">
        <references count="1">
          <reference field="4294967294" count="1" selected="0">
            <x v="21"/>
          </reference>
        </references>
      </pivotArea>
    </format>
    <format dxfId="1025">
      <pivotArea field="0" dataOnly="0" labelOnly="1" grandRow="1" outline="0" axis="axisRow" fieldPosition="0">
        <references count="1">
          <reference field="4294967294" count="1" selected="0">
            <x v="22"/>
          </reference>
        </references>
      </pivotArea>
    </format>
    <format dxfId="1024">
      <pivotArea field="0" dataOnly="0" labelOnly="1" grandRow="1" outline="0" axis="axisRow" fieldPosition="0">
        <references count="1">
          <reference field="4294967294" count="1" selected="0">
            <x v="23"/>
          </reference>
        </references>
      </pivotArea>
    </format>
    <format dxfId="1023">
      <pivotArea field="0" dataOnly="0" labelOnly="1" grandRow="1" outline="0" axis="axisRow" fieldPosition="0">
        <references count="1">
          <reference field="4294967294" count="1" selected="0">
            <x v="24"/>
          </reference>
        </references>
      </pivotArea>
    </format>
    <format dxfId="1022">
      <pivotArea field="0" dataOnly="0" labelOnly="1" grandRow="1" outline="0" axis="axisRow" fieldPosition="0">
        <references count="1">
          <reference field="4294967294" count="1" selected="0">
            <x v="25"/>
          </reference>
        </references>
      </pivotArea>
    </format>
    <format dxfId="1021">
      <pivotArea field="0" dataOnly="0" labelOnly="1" grandRow="1" outline="0" axis="axisRow" fieldPosition="0">
        <references count="1">
          <reference field="4294967294" count="1" selected="0">
            <x v="26"/>
          </reference>
        </references>
      </pivotArea>
    </format>
    <format dxfId="1020">
      <pivotArea field="0" dataOnly="0" labelOnly="1" grandRow="1" outline="0" axis="axisRow" fieldPosition="0">
        <references count="1">
          <reference field="4294967294" count="1" selected="0">
            <x v="27"/>
          </reference>
        </references>
      </pivotArea>
    </format>
    <format dxfId="1019">
      <pivotArea field="0" dataOnly="0" labelOnly="1" grandRow="1" outline="0" axis="axisRow" fieldPosition="0">
        <references count="1">
          <reference field="4294967294" count="1" selected="0">
            <x v="28"/>
          </reference>
        </references>
      </pivotArea>
    </format>
    <format dxfId="1018">
      <pivotArea field="0" dataOnly="0" labelOnly="1" grandRow="1" outline="0" axis="axisRow" fieldPosition="0">
        <references count="1">
          <reference field="4294967294" count="1" selected="0">
            <x v="29"/>
          </reference>
        </references>
      </pivotArea>
    </format>
    <format dxfId="1017">
      <pivotArea field="0" dataOnly="0" labelOnly="1" grandRow="1" outline="0" axis="axisRow" fieldPosition="0">
        <references count="1">
          <reference field="4294967294" count="1" selected="0">
            <x v="30"/>
          </reference>
        </references>
      </pivotArea>
    </format>
    <format dxfId="1016">
      <pivotArea field="0" dataOnly="0" labelOnly="1" grandRow="1" outline="0" axis="axisRow" fieldPosition="0">
        <references count="1">
          <reference field="4294967294" count="1" selected="0">
            <x v="31"/>
          </reference>
        </references>
      </pivotArea>
    </format>
    <format dxfId="1015">
      <pivotArea field="0" dataOnly="0" labelOnly="1" grandRow="1" outline="0" axis="axisRow" fieldPosition="0">
        <references count="1">
          <reference field="4294967294" count="1" selected="0">
            <x v="32"/>
          </reference>
        </references>
      </pivotArea>
    </format>
    <format dxfId="1014">
      <pivotArea field="0" dataOnly="0" labelOnly="1" grandRow="1" outline="0" axis="axisRow" fieldPosition="0">
        <references count="1">
          <reference field="4294967294" count="1" selected="0">
            <x v="33"/>
          </reference>
        </references>
      </pivotArea>
    </format>
    <format dxfId="1013">
      <pivotArea field="0" dataOnly="0" labelOnly="1" grandRow="1" outline="0" axis="axisRow" fieldPosition="0">
        <references count="1">
          <reference field="4294967294" count="1" selected="0">
            <x v="34"/>
          </reference>
        </references>
      </pivotArea>
    </format>
    <format dxfId="1012">
      <pivotArea field="0" dataOnly="0" labelOnly="1" grandRow="1" outline="0" axis="axisRow" fieldPosition="0">
        <references count="1">
          <reference field="4294967294" count="1" selected="0">
            <x v="35"/>
          </reference>
        </references>
      </pivotArea>
    </format>
    <format dxfId="1011">
      <pivotArea field="0" dataOnly="0" labelOnly="1" grandRow="1" outline="0" axis="axisRow" fieldPosition="0">
        <references count="1">
          <reference field="4294967294" count="1" selected="0">
            <x v="0"/>
          </reference>
        </references>
      </pivotArea>
    </format>
    <format dxfId="1010">
      <pivotArea field="0" dataOnly="0" labelOnly="1" grandRow="1" outline="0" axis="axisRow" fieldPosition="0">
        <references count="1">
          <reference field="4294967294" count="1" selected="0">
            <x v="1"/>
          </reference>
        </references>
      </pivotArea>
    </format>
    <format dxfId="1009">
      <pivotArea field="0" dataOnly="0" labelOnly="1" grandRow="1" outline="0" axis="axisRow" fieldPosition="0">
        <references count="1">
          <reference field="4294967294" count="1" selected="0">
            <x v="2"/>
          </reference>
        </references>
      </pivotArea>
    </format>
    <format dxfId="1008">
      <pivotArea field="0" dataOnly="0" labelOnly="1" grandRow="1" outline="0" axis="axisRow" fieldPosition="0">
        <references count="1">
          <reference field="4294967294" count="1" selected="0">
            <x v="3"/>
          </reference>
        </references>
      </pivotArea>
    </format>
    <format dxfId="1007">
      <pivotArea field="0" dataOnly="0" labelOnly="1" grandRow="1" outline="0" axis="axisRow" fieldPosition="0">
        <references count="1">
          <reference field="4294967294" count="1" selected="0">
            <x v="4"/>
          </reference>
        </references>
      </pivotArea>
    </format>
    <format dxfId="1006">
      <pivotArea field="0" dataOnly="0" labelOnly="1" grandRow="1" outline="0" axis="axisRow" fieldPosition="0">
        <references count="1">
          <reference field="4294967294" count="1" selected="0">
            <x v="5"/>
          </reference>
        </references>
      </pivotArea>
    </format>
    <format dxfId="1005">
      <pivotArea field="0" dataOnly="0" labelOnly="1" grandRow="1" outline="0" axis="axisRow" fieldPosition="0">
        <references count="1">
          <reference field="4294967294" count="1" selected="0">
            <x v="6"/>
          </reference>
        </references>
      </pivotArea>
    </format>
    <format dxfId="1004">
      <pivotArea field="0" dataOnly="0" labelOnly="1" grandRow="1" outline="0" axis="axisRow" fieldPosition="0">
        <references count="1">
          <reference field="4294967294" count="1" selected="0">
            <x v="7"/>
          </reference>
        </references>
      </pivotArea>
    </format>
    <format dxfId="1003">
      <pivotArea field="0" dataOnly="0" labelOnly="1" grandRow="1" outline="0" axis="axisRow" fieldPosition="0">
        <references count="1">
          <reference field="4294967294" count="1" selected="0">
            <x v="8"/>
          </reference>
        </references>
      </pivotArea>
    </format>
    <format dxfId="1002">
      <pivotArea field="0" dataOnly="0" labelOnly="1" grandRow="1" outline="0" axis="axisRow" fieldPosition="0">
        <references count="1">
          <reference field="4294967294" count="1" selected="0">
            <x v="9"/>
          </reference>
        </references>
      </pivotArea>
    </format>
    <format dxfId="1001">
      <pivotArea field="0" dataOnly="0" labelOnly="1" grandRow="1" outline="0" axis="axisRow" fieldPosition="0">
        <references count="1">
          <reference field="4294967294" count="1" selected="0">
            <x v="10"/>
          </reference>
        </references>
      </pivotArea>
    </format>
    <format dxfId="1000">
      <pivotArea field="0" dataOnly="0" labelOnly="1" grandRow="1" outline="0" axis="axisRow" fieldPosition="0">
        <references count="1">
          <reference field="4294967294" count="1" selected="0">
            <x v="11"/>
          </reference>
        </references>
      </pivotArea>
    </format>
    <format dxfId="999">
      <pivotArea field="0" dataOnly="0" labelOnly="1" grandRow="1" outline="0" axis="axisRow" fieldPosition="0">
        <references count="1">
          <reference field="4294967294" count="1" selected="0">
            <x v="12"/>
          </reference>
        </references>
      </pivotArea>
    </format>
    <format dxfId="998">
      <pivotArea field="0" dataOnly="0" labelOnly="1" grandRow="1" outline="0" axis="axisRow" fieldPosition="0">
        <references count="1">
          <reference field="4294967294" count="1" selected="0">
            <x v="13"/>
          </reference>
        </references>
      </pivotArea>
    </format>
    <format dxfId="997">
      <pivotArea field="0" dataOnly="0" labelOnly="1" grandRow="1" outline="0" axis="axisRow" fieldPosition="0">
        <references count="1">
          <reference field="4294967294" count="1" selected="0">
            <x v="14"/>
          </reference>
        </references>
      </pivotArea>
    </format>
    <format dxfId="996">
      <pivotArea field="0" dataOnly="0" labelOnly="1" grandRow="1" outline="0" axis="axisRow" fieldPosition="0">
        <references count="1">
          <reference field="4294967294" count="1" selected="0">
            <x v="15"/>
          </reference>
        </references>
      </pivotArea>
    </format>
    <format dxfId="995">
      <pivotArea field="0" dataOnly="0" labelOnly="1" grandRow="1" outline="0" axis="axisRow" fieldPosition="0">
        <references count="1">
          <reference field="4294967294" count="1" selected="0">
            <x v="16"/>
          </reference>
        </references>
      </pivotArea>
    </format>
    <format dxfId="994">
      <pivotArea field="0" dataOnly="0" labelOnly="1" grandRow="1" outline="0" axis="axisRow" fieldPosition="0">
        <references count="1">
          <reference field="4294967294" count="1" selected="0">
            <x v="17"/>
          </reference>
        </references>
      </pivotArea>
    </format>
    <format dxfId="993">
      <pivotArea field="0" dataOnly="0" labelOnly="1" grandRow="1" outline="0" axis="axisRow" fieldPosition="0">
        <references count="1">
          <reference field="4294967294" count="1" selected="0">
            <x v="18"/>
          </reference>
        </references>
      </pivotArea>
    </format>
    <format dxfId="992">
      <pivotArea field="0" dataOnly="0" labelOnly="1" grandRow="1" outline="0" axis="axisRow" fieldPosition="0">
        <references count="1">
          <reference field="4294967294" count="1" selected="0">
            <x v="19"/>
          </reference>
        </references>
      </pivotArea>
    </format>
    <format dxfId="991">
      <pivotArea field="0" dataOnly="0" labelOnly="1" grandRow="1" outline="0" axis="axisRow" fieldPosition="0">
        <references count="1">
          <reference field="4294967294" count="1" selected="0">
            <x v="20"/>
          </reference>
        </references>
      </pivotArea>
    </format>
    <format dxfId="990">
      <pivotArea field="0" dataOnly="0" labelOnly="1" grandRow="1" outline="0" axis="axisRow" fieldPosition="0">
        <references count="1">
          <reference field="4294967294" count="1" selected="0">
            <x v="21"/>
          </reference>
        </references>
      </pivotArea>
    </format>
    <format dxfId="989">
      <pivotArea field="0" dataOnly="0" labelOnly="1" grandRow="1" outline="0" axis="axisRow" fieldPosition="0">
        <references count="1">
          <reference field="4294967294" count="1" selected="0">
            <x v="22"/>
          </reference>
        </references>
      </pivotArea>
    </format>
    <format dxfId="988">
      <pivotArea field="0" dataOnly="0" labelOnly="1" grandRow="1" outline="0" axis="axisRow" fieldPosition="0">
        <references count="1">
          <reference field="4294967294" count="1" selected="0">
            <x v="23"/>
          </reference>
        </references>
      </pivotArea>
    </format>
    <format dxfId="987">
      <pivotArea field="0" dataOnly="0" labelOnly="1" grandRow="1" outline="0" axis="axisRow" fieldPosition="0">
        <references count="1">
          <reference field="4294967294" count="1" selected="0">
            <x v="24"/>
          </reference>
        </references>
      </pivotArea>
    </format>
    <format dxfId="986">
      <pivotArea field="0" dataOnly="0" labelOnly="1" grandRow="1" outline="0" axis="axisRow" fieldPosition="0">
        <references count="1">
          <reference field="4294967294" count="1" selected="0">
            <x v="25"/>
          </reference>
        </references>
      </pivotArea>
    </format>
    <format dxfId="985">
      <pivotArea field="0" dataOnly="0" labelOnly="1" grandRow="1" outline="0" axis="axisRow" fieldPosition="0">
        <references count="1">
          <reference field="4294967294" count="1" selected="0">
            <x v="26"/>
          </reference>
        </references>
      </pivotArea>
    </format>
    <format dxfId="984">
      <pivotArea field="0" dataOnly="0" labelOnly="1" grandRow="1" outline="0" axis="axisRow" fieldPosition="0">
        <references count="1">
          <reference field="4294967294" count="1" selected="0">
            <x v="27"/>
          </reference>
        </references>
      </pivotArea>
    </format>
    <format dxfId="983">
      <pivotArea field="0" dataOnly="0" labelOnly="1" grandRow="1" outline="0" axis="axisRow" fieldPosition="0">
        <references count="1">
          <reference field="4294967294" count="1" selected="0">
            <x v="28"/>
          </reference>
        </references>
      </pivotArea>
    </format>
    <format dxfId="982">
      <pivotArea field="0" dataOnly="0" labelOnly="1" grandRow="1" outline="0" axis="axisRow" fieldPosition="0">
        <references count="1">
          <reference field="4294967294" count="1" selected="0">
            <x v="29"/>
          </reference>
        </references>
      </pivotArea>
    </format>
    <format dxfId="981">
      <pivotArea field="0" dataOnly="0" labelOnly="1" grandRow="1" outline="0" axis="axisRow" fieldPosition="0">
        <references count="1">
          <reference field="4294967294" count="1" selected="0">
            <x v="30"/>
          </reference>
        </references>
      </pivotArea>
    </format>
    <format dxfId="980">
      <pivotArea field="0" dataOnly="0" labelOnly="1" grandRow="1" outline="0" axis="axisRow" fieldPosition="0">
        <references count="1">
          <reference field="4294967294" count="1" selected="0">
            <x v="31"/>
          </reference>
        </references>
      </pivotArea>
    </format>
    <format dxfId="979">
      <pivotArea field="0" dataOnly="0" labelOnly="1" grandRow="1" outline="0" axis="axisRow" fieldPosition="0">
        <references count="1">
          <reference field="4294967294" count="1" selected="0">
            <x v="32"/>
          </reference>
        </references>
      </pivotArea>
    </format>
    <format dxfId="978">
      <pivotArea field="0" dataOnly="0" labelOnly="1" grandRow="1" outline="0" axis="axisRow" fieldPosition="0">
        <references count="1">
          <reference field="4294967294" count="1" selected="0">
            <x v="33"/>
          </reference>
        </references>
      </pivotArea>
    </format>
    <format dxfId="977">
      <pivotArea field="0" dataOnly="0" labelOnly="1" grandRow="1" outline="0" axis="axisRow" fieldPosition="0">
        <references count="1">
          <reference field="4294967294" count="1" selected="0">
            <x v="34"/>
          </reference>
        </references>
      </pivotArea>
    </format>
    <format dxfId="976">
      <pivotArea field="0" dataOnly="0" labelOnly="1" grandRow="1" outline="0" axis="axisRow" fieldPosition="0">
        <references count="1">
          <reference field="4294967294" count="1" selected="0">
            <x v="35"/>
          </reference>
        </references>
      </pivotArea>
    </format>
    <format dxfId="975">
      <pivotArea field="0" dataOnly="0" labelOnly="1" grandRow="1" outline="0" axis="axisRow" fieldPosition="0">
        <references count="1">
          <reference field="4294967294" count="1" selected="0">
            <x v="0"/>
          </reference>
        </references>
      </pivotArea>
    </format>
    <format dxfId="974">
      <pivotArea field="0" dataOnly="0" labelOnly="1" grandRow="1" outline="0" axis="axisRow" fieldPosition="0">
        <references count="1">
          <reference field="4294967294" count="1" selected="0">
            <x v="1"/>
          </reference>
        </references>
      </pivotArea>
    </format>
    <format dxfId="973">
      <pivotArea field="0" dataOnly="0" labelOnly="1" grandRow="1" outline="0" axis="axisRow" fieldPosition="0">
        <references count="1">
          <reference field="4294967294" count="1" selected="0">
            <x v="2"/>
          </reference>
        </references>
      </pivotArea>
    </format>
    <format dxfId="972">
      <pivotArea field="0" dataOnly="0" labelOnly="1" grandRow="1" outline="0" axis="axisRow" fieldPosition="0">
        <references count="1">
          <reference field="4294967294" count="1" selected="0">
            <x v="3"/>
          </reference>
        </references>
      </pivotArea>
    </format>
    <format dxfId="971">
      <pivotArea field="0" dataOnly="0" labelOnly="1" grandRow="1" outline="0" axis="axisRow" fieldPosition="0">
        <references count="1">
          <reference field="4294967294" count="1" selected="0">
            <x v="4"/>
          </reference>
        </references>
      </pivotArea>
    </format>
    <format dxfId="970">
      <pivotArea field="0" dataOnly="0" labelOnly="1" grandRow="1" outline="0" axis="axisRow" fieldPosition="0">
        <references count="1">
          <reference field="4294967294" count="1" selected="0">
            <x v="5"/>
          </reference>
        </references>
      </pivotArea>
    </format>
    <format dxfId="969">
      <pivotArea field="0" dataOnly="0" labelOnly="1" grandRow="1" outline="0" axis="axisRow" fieldPosition="0">
        <references count="1">
          <reference field="4294967294" count="1" selected="0">
            <x v="6"/>
          </reference>
        </references>
      </pivotArea>
    </format>
    <format dxfId="968">
      <pivotArea field="0" dataOnly="0" labelOnly="1" grandRow="1" outline="0" axis="axisRow" fieldPosition="0">
        <references count="1">
          <reference field="4294967294" count="1" selected="0">
            <x v="7"/>
          </reference>
        </references>
      </pivotArea>
    </format>
    <format dxfId="967">
      <pivotArea field="0" dataOnly="0" labelOnly="1" grandRow="1" outline="0" axis="axisRow" fieldPosition="0">
        <references count="1">
          <reference field="4294967294" count="1" selected="0">
            <x v="8"/>
          </reference>
        </references>
      </pivotArea>
    </format>
    <format dxfId="966">
      <pivotArea field="0" dataOnly="0" labelOnly="1" grandRow="1" outline="0" axis="axisRow" fieldPosition="0">
        <references count="1">
          <reference field="4294967294" count="1" selected="0">
            <x v="9"/>
          </reference>
        </references>
      </pivotArea>
    </format>
    <format dxfId="965">
      <pivotArea field="0" dataOnly="0" labelOnly="1" grandRow="1" outline="0" axis="axisRow" fieldPosition="0">
        <references count="1">
          <reference field="4294967294" count="1" selected="0">
            <x v="10"/>
          </reference>
        </references>
      </pivotArea>
    </format>
    <format dxfId="964">
      <pivotArea field="0" dataOnly="0" labelOnly="1" grandRow="1" outline="0" axis="axisRow" fieldPosition="0">
        <references count="1">
          <reference field="4294967294" count="1" selected="0">
            <x v="11"/>
          </reference>
        </references>
      </pivotArea>
    </format>
    <format dxfId="963">
      <pivotArea field="0" dataOnly="0" labelOnly="1" grandRow="1" outline="0" axis="axisRow" fieldPosition="0">
        <references count="1">
          <reference field="4294967294" count="1" selected="0">
            <x v="12"/>
          </reference>
        </references>
      </pivotArea>
    </format>
    <format dxfId="962">
      <pivotArea field="0" dataOnly="0" labelOnly="1" grandRow="1" outline="0" axis="axisRow" fieldPosition="0">
        <references count="1">
          <reference field="4294967294" count="1" selected="0">
            <x v="13"/>
          </reference>
        </references>
      </pivotArea>
    </format>
    <format dxfId="961">
      <pivotArea field="0" dataOnly="0" labelOnly="1" grandRow="1" outline="0" axis="axisRow" fieldPosition="0">
        <references count="1">
          <reference field="4294967294" count="1" selected="0">
            <x v="14"/>
          </reference>
        </references>
      </pivotArea>
    </format>
    <format dxfId="960">
      <pivotArea field="0" dataOnly="0" labelOnly="1" grandRow="1" outline="0" axis="axisRow" fieldPosition="0">
        <references count="1">
          <reference field="4294967294" count="1" selected="0">
            <x v="15"/>
          </reference>
        </references>
      </pivotArea>
    </format>
    <format dxfId="959">
      <pivotArea field="0" dataOnly="0" labelOnly="1" grandRow="1" outline="0" axis="axisRow" fieldPosition="0">
        <references count="1">
          <reference field="4294967294" count="1" selected="0">
            <x v="16"/>
          </reference>
        </references>
      </pivotArea>
    </format>
    <format dxfId="958">
      <pivotArea field="0" dataOnly="0" labelOnly="1" grandRow="1" outline="0" axis="axisRow" fieldPosition="0">
        <references count="1">
          <reference field="4294967294" count="1" selected="0">
            <x v="17"/>
          </reference>
        </references>
      </pivotArea>
    </format>
    <format dxfId="957">
      <pivotArea field="0" dataOnly="0" labelOnly="1" grandRow="1" outline="0" axis="axisRow" fieldPosition="0">
        <references count="1">
          <reference field="4294967294" count="1" selected="0">
            <x v="18"/>
          </reference>
        </references>
      </pivotArea>
    </format>
    <format dxfId="956">
      <pivotArea field="0" dataOnly="0" labelOnly="1" grandRow="1" outline="0" axis="axisRow" fieldPosition="0">
        <references count="1">
          <reference field="4294967294" count="1" selected="0">
            <x v="19"/>
          </reference>
        </references>
      </pivotArea>
    </format>
    <format dxfId="955">
      <pivotArea field="0" dataOnly="0" labelOnly="1" grandRow="1" outline="0" axis="axisRow" fieldPosition="0">
        <references count="1">
          <reference field="4294967294" count="1" selected="0">
            <x v="20"/>
          </reference>
        </references>
      </pivotArea>
    </format>
    <format dxfId="954">
      <pivotArea field="0" dataOnly="0" labelOnly="1" grandRow="1" outline="0" axis="axisRow" fieldPosition="0">
        <references count="1">
          <reference field="4294967294" count="1" selected="0">
            <x v="21"/>
          </reference>
        </references>
      </pivotArea>
    </format>
    <format dxfId="953">
      <pivotArea field="0" dataOnly="0" labelOnly="1" grandRow="1" outline="0" axis="axisRow" fieldPosition="0">
        <references count="1">
          <reference field="4294967294" count="1" selected="0">
            <x v="22"/>
          </reference>
        </references>
      </pivotArea>
    </format>
    <format dxfId="952">
      <pivotArea field="0" dataOnly="0" labelOnly="1" grandRow="1" outline="0" axis="axisRow" fieldPosition="0">
        <references count="1">
          <reference field="4294967294" count="1" selected="0">
            <x v="23"/>
          </reference>
        </references>
      </pivotArea>
    </format>
    <format dxfId="951">
      <pivotArea field="0" dataOnly="0" labelOnly="1" grandRow="1" outline="0" axis="axisRow" fieldPosition="0">
        <references count="1">
          <reference field="4294967294" count="1" selected="0">
            <x v="24"/>
          </reference>
        </references>
      </pivotArea>
    </format>
    <format dxfId="950">
      <pivotArea field="0" dataOnly="0" labelOnly="1" grandRow="1" outline="0" axis="axisRow" fieldPosition="0">
        <references count="1">
          <reference field="4294967294" count="1" selected="0">
            <x v="25"/>
          </reference>
        </references>
      </pivotArea>
    </format>
    <format dxfId="949">
      <pivotArea field="0" dataOnly="0" labelOnly="1" grandRow="1" outline="0" axis="axisRow" fieldPosition="0">
        <references count="1">
          <reference field="4294967294" count="1" selected="0">
            <x v="26"/>
          </reference>
        </references>
      </pivotArea>
    </format>
    <format dxfId="948">
      <pivotArea field="0" dataOnly="0" labelOnly="1" grandRow="1" outline="0" axis="axisRow" fieldPosition="0">
        <references count="1">
          <reference field="4294967294" count="1" selected="0">
            <x v="27"/>
          </reference>
        </references>
      </pivotArea>
    </format>
    <format dxfId="947">
      <pivotArea field="0" dataOnly="0" labelOnly="1" grandRow="1" outline="0" axis="axisRow" fieldPosition="0">
        <references count="1">
          <reference field="4294967294" count="1" selected="0">
            <x v="28"/>
          </reference>
        </references>
      </pivotArea>
    </format>
    <format dxfId="946">
      <pivotArea field="0" dataOnly="0" labelOnly="1" grandRow="1" outline="0" axis="axisRow" fieldPosition="0">
        <references count="1">
          <reference field="4294967294" count="1" selected="0">
            <x v="29"/>
          </reference>
        </references>
      </pivotArea>
    </format>
    <format dxfId="945">
      <pivotArea field="0" dataOnly="0" labelOnly="1" grandRow="1" outline="0" axis="axisRow" fieldPosition="0">
        <references count="1">
          <reference field="4294967294" count="1" selected="0">
            <x v="30"/>
          </reference>
        </references>
      </pivotArea>
    </format>
    <format dxfId="944">
      <pivotArea field="0" dataOnly="0" labelOnly="1" grandRow="1" outline="0" axis="axisRow" fieldPosition="0">
        <references count="1">
          <reference field="4294967294" count="1" selected="0">
            <x v="31"/>
          </reference>
        </references>
      </pivotArea>
    </format>
    <format dxfId="943">
      <pivotArea field="0" dataOnly="0" labelOnly="1" grandRow="1" outline="0" axis="axisRow" fieldPosition="0">
        <references count="1">
          <reference field="4294967294" count="1" selected="0">
            <x v="32"/>
          </reference>
        </references>
      </pivotArea>
    </format>
    <format dxfId="942">
      <pivotArea field="0" dataOnly="0" labelOnly="1" grandRow="1" outline="0" axis="axisRow" fieldPosition="0">
        <references count="1">
          <reference field="4294967294" count="1" selected="0">
            <x v="33"/>
          </reference>
        </references>
      </pivotArea>
    </format>
    <format dxfId="941">
      <pivotArea field="0" dataOnly="0" labelOnly="1" grandRow="1" outline="0" axis="axisRow" fieldPosition="0">
        <references count="1">
          <reference field="4294967294" count="1" selected="0">
            <x v="34"/>
          </reference>
        </references>
      </pivotArea>
    </format>
    <format dxfId="940">
      <pivotArea field="0" dataOnly="0" labelOnly="1" grandRow="1" outline="0" axis="axisRow" fieldPosition="0">
        <references count="1">
          <reference field="4294967294" count="1" selected="0">
            <x v="35"/>
          </reference>
        </references>
      </pivotArea>
    </format>
    <format dxfId="939">
      <pivotArea field="0" dataOnly="0" labelOnly="1" grandRow="1" outline="0" axis="axisRow" fieldPosition="0">
        <references count="1">
          <reference field="4294967294" count="1" selected="0">
            <x v="0"/>
          </reference>
        </references>
      </pivotArea>
    </format>
    <format dxfId="938">
      <pivotArea field="0" dataOnly="0" labelOnly="1" grandRow="1" outline="0" axis="axisRow" fieldPosition="0">
        <references count="1">
          <reference field="4294967294" count="1" selected="0">
            <x v="1"/>
          </reference>
        </references>
      </pivotArea>
    </format>
    <format dxfId="937">
      <pivotArea field="0" dataOnly="0" labelOnly="1" grandRow="1" outline="0" axis="axisRow" fieldPosition="0">
        <references count="1">
          <reference field="4294967294" count="1" selected="0">
            <x v="2"/>
          </reference>
        </references>
      </pivotArea>
    </format>
    <format dxfId="936">
      <pivotArea field="0" dataOnly="0" labelOnly="1" grandRow="1" outline="0" axis="axisRow" fieldPosition="0">
        <references count="1">
          <reference field="4294967294" count="1" selected="0">
            <x v="3"/>
          </reference>
        </references>
      </pivotArea>
    </format>
    <format dxfId="935">
      <pivotArea field="0" dataOnly="0" labelOnly="1" grandRow="1" outline="0" axis="axisRow" fieldPosition="0">
        <references count="1">
          <reference field="4294967294" count="1" selected="0">
            <x v="4"/>
          </reference>
        </references>
      </pivotArea>
    </format>
    <format dxfId="934">
      <pivotArea field="0" dataOnly="0" labelOnly="1" grandRow="1" outline="0" axis="axisRow" fieldPosition="0">
        <references count="1">
          <reference field="4294967294" count="1" selected="0">
            <x v="5"/>
          </reference>
        </references>
      </pivotArea>
    </format>
    <format dxfId="933">
      <pivotArea field="0" dataOnly="0" labelOnly="1" grandRow="1" outline="0" axis="axisRow" fieldPosition="0">
        <references count="1">
          <reference field="4294967294" count="1" selected="0">
            <x v="6"/>
          </reference>
        </references>
      </pivotArea>
    </format>
    <format dxfId="932">
      <pivotArea field="0" dataOnly="0" labelOnly="1" grandRow="1" outline="0" axis="axisRow" fieldPosition="0">
        <references count="1">
          <reference field="4294967294" count="1" selected="0">
            <x v="7"/>
          </reference>
        </references>
      </pivotArea>
    </format>
    <format dxfId="931">
      <pivotArea field="0" dataOnly="0" labelOnly="1" grandRow="1" outline="0" axis="axisRow" fieldPosition="0">
        <references count="1">
          <reference field="4294967294" count="1" selected="0">
            <x v="8"/>
          </reference>
        </references>
      </pivotArea>
    </format>
    <format dxfId="930">
      <pivotArea field="0" dataOnly="0" labelOnly="1" grandRow="1" outline="0" axis="axisRow" fieldPosition="0">
        <references count="1">
          <reference field="4294967294" count="1" selected="0">
            <x v="9"/>
          </reference>
        </references>
      </pivotArea>
    </format>
    <format dxfId="929">
      <pivotArea field="0" dataOnly="0" labelOnly="1" grandRow="1" outline="0" axis="axisRow" fieldPosition="0">
        <references count="1">
          <reference field="4294967294" count="1" selected="0">
            <x v="10"/>
          </reference>
        </references>
      </pivotArea>
    </format>
    <format dxfId="928">
      <pivotArea field="0" dataOnly="0" labelOnly="1" grandRow="1" outline="0" axis="axisRow" fieldPosition="0">
        <references count="1">
          <reference field="4294967294" count="1" selected="0">
            <x v="11"/>
          </reference>
        </references>
      </pivotArea>
    </format>
    <format dxfId="927">
      <pivotArea field="0" dataOnly="0" labelOnly="1" grandRow="1" outline="0" axis="axisRow" fieldPosition="0">
        <references count="1">
          <reference field="4294967294" count="1" selected="0">
            <x v="12"/>
          </reference>
        </references>
      </pivotArea>
    </format>
    <format dxfId="926">
      <pivotArea field="0" dataOnly="0" labelOnly="1" grandRow="1" outline="0" axis="axisRow" fieldPosition="0">
        <references count="1">
          <reference field="4294967294" count="1" selected="0">
            <x v="13"/>
          </reference>
        </references>
      </pivotArea>
    </format>
    <format dxfId="925">
      <pivotArea field="0" dataOnly="0" labelOnly="1" grandRow="1" outline="0" axis="axisRow" fieldPosition="0">
        <references count="1">
          <reference field="4294967294" count="1" selected="0">
            <x v="14"/>
          </reference>
        </references>
      </pivotArea>
    </format>
    <format dxfId="924">
      <pivotArea field="0" dataOnly="0" labelOnly="1" grandRow="1" outline="0" axis="axisRow" fieldPosition="0">
        <references count="1">
          <reference field="4294967294" count="1" selected="0">
            <x v="15"/>
          </reference>
        </references>
      </pivotArea>
    </format>
    <format dxfId="923">
      <pivotArea field="0" dataOnly="0" labelOnly="1" grandRow="1" outline="0" axis="axisRow" fieldPosition="0">
        <references count="1">
          <reference field="4294967294" count="1" selected="0">
            <x v="16"/>
          </reference>
        </references>
      </pivotArea>
    </format>
    <format dxfId="922">
      <pivotArea field="0" dataOnly="0" labelOnly="1" grandRow="1" outline="0" axis="axisRow" fieldPosition="0">
        <references count="1">
          <reference field="4294967294" count="1" selected="0">
            <x v="17"/>
          </reference>
        </references>
      </pivotArea>
    </format>
    <format dxfId="921">
      <pivotArea field="0" dataOnly="0" labelOnly="1" grandRow="1" outline="0" axis="axisRow" fieldPosition="0">
        <references count="1">
          <reference field="4294967294" count="1" selected="0">
            <x v="18"/>
          </reference>
        </references>
      </pivotArea>
    </format>
    <format dxfId="920">
      <pivotArea field="0" dataOnly="0" labelOnly="1" grandRow="1" outline="0" axis="axisRow" fieldPosition="0">
        <references count="1">
          <reference field="4294967294" count="1" selected="0">
            <x v="19"/>
          </reference>
        </references>
      </pivotArea>
    </format>
    <format dxfId="919">
      <pivotArea field="0" dataOnly="0" labelOnly="1" grandRow="1" outline="0" axis="axisRow" fieldPosition="0">
        <references count="1">
          <reference field="4294967294" count="1" selected="0">
            <x v="20"/>
          </reference>
        </references>
      </pivotArea>
    </format>
    <format dxfId="918">
      <pivotArea field="0" dataOnly="0" labelOnly="1" grandRow="1" outline="0" axis="axisRow" fieldPosition="0">
        <references count="1">
          <reference field="4294967294" count="1" selected="0">
            <x v="21"/>
          </reference>
        </references>
      </pivotArea>
    </format>
    <format dxfId="917">
      <pivotArea field="0" dataOnly="0" labelOnly="1" grandRow="1" outline="0" axis="axisRow" fieldPosition="0">
        <references count="1">
          <reference field="4294967294" count="1" selected="0">
            <x v="22"/>
          </reference>
        </references>
      </pivotArea>
    </format>
    <format dxfId="916">
      <pivotArea field="0" dataOnly="0" labelOnly="1" grandRow="1" outline="0" axis="axisRow" fieldPosition="0">
        <references count="1">
          <reference field="4294967294" count="1" selected="0">
            <x v="23"/>
          </reference>
        </references>
      </pivotArea>
    </format>
    <format dxfId="915">
      <pivotArea field="0" dataOnly="0" labelOnly="1" grandRow="1" outline="0" axis="axisRow" fieldPosition="0">
        <references count="1">
          <reference field="4294967294" count="1" selected="0">
            <x v="24"/>
          </reference>
        </references>
      </pivotArea>
    </format>
    <format dxfId="914">
      <pivotArea field="0" dataOnly="0" labelOnly="1" grandRow="1" outline="0" axis="axisRow" fieldPosition="0">
        <references count="1">
          <reference field="4294967294" count="1" selected="0">
            <x v="25"/>
          </reference>
        </references>
      </pivotArea>
    </format>
    <format dxfId="913">
      <pivotArea field="0" dataOnly="0" labelOnly="1" grandRow="1" outline="0" axis="axisRow" fieldPosition="0">
        <references count="1">
          <reference field="4294967294" count="1" selected="0">
            <x v="26"/>
          </reference>
        </references>
      </pivotArea>
    </format>
    <format dxfId="912">
      <pivotArea field="0" dataOnly="0" labelOnly="1" grandRow="1" outline="0" axis="axisRow" fieldPosition="0">
        <references count="1">
          <reference field="4294967294" count="1" selected="0">
            <x v="27"/>
          </reference>
        </references>
      </pivotArea>
    </format>
    <format dxfId="911">
      <pivotArea field="0" dataOnly="0" labelOnly="1" grandRow="1" outline="0" axis="axisRow" fieldPosition="0">
        <references count="1">
          <reference field="4294967294" count="1" selected="0">
            <x v="28"/>
          </reference>
        </references>
      </pivotArea>
    </format>
    <format dxfId="910">
      <pivotArea field="0" dataOnly="0" labelOnly="1" grandRow="1" outline="0" axis="axisRow" fieldPosition="0">
        <references count="1">
          <reference field="4294967294" count="1" selected="0">
            <x v="29"/>
          </reference>
        </references>
      </pivotArea>
    </format>
    <format dxfId="909">
      <pivotArea field="0" dataOnly="0" labelOnly="1" grandRow="1" outline="0" axis="axisRow" fieldPosition="0">
        <references count="1">
          <reference field="4294967294" count="1" selected="0">
            <x v="30"/>
          </reference>
        </references>
      </pivotArea>
    </format>
    <format dxfId="908">
      <pivotArea field="0" dataOnly="0" labelOnly="1" grandRow="1" outline="0" axis="axisRow" fieldPosition="0">
        <references count="1">
          <reference field="4294967294" count="1" selected="0">
            <x v="31"/>
          </reference>
        </references>
      </pivotArea>
    </format>
    <format dxfId="907">
      <pivotArea field="0" dataOnly="0" labelOnly="1" grandRow="1" outline="0" axis="axisRow" fieldPosition="0">
        <references count="1">
          <reference field="4294967294" count="1" selected="0">
            <x v="32"/>
          </reference>
        </references>
      </pivotArea>
    </format>
    <format dxfId="906">
      <pivotArea field="0" dataOnly="0" labelOnly="1" grandRow="1" outline="0" axis="axisRow" fieldPosition="0">
        <references count="1">
          <reference field="4294967294" count="1" selected="0">
            <x v="33"/>
          </reference>
        </references>
      </pivotArea>
    </format>
    <format dxfId="905">
      <pivotArea field="0" dataOnly="0" labelOnly="1" grandRow="1" outline="0" axis="axisRow" fieldPosition="0">
        <references count="1">
          <reference field="4294967294" count="1" selected="0">
            <x v="34"/>
          </reference>
        </references>
      </pivotArea>
    </format>
    <format dxfId="904">
      <pivotArea field="0" dataOnly="0" labelOnly="1" grandRow="1" outline="0" axis="axisRow" fieldPosition="0">
        <references count="1">
          <reference field="4294967294" count="1" selected="0">
            <x v="35"/>
          </reference>
        </references>
      </pivotArea>
    </format>
    <format dxfId="903">
      <pivotArea field="0" dataOnly="0" labelOnly="1" grandRow="1" outline="0" axis="axisRow" fieldPosition="0">
        <references count="1">
          <reference field="4294967294" count="1" selected="0">
            <x v="0"/>
          </reference>
        </references>
      </pivotArea>
    </format>
    <format dxfId="902">
      <pivotArea field="0" dataOnly="0" labelOnly="1" grandRow="1" outline="0" axis="axisRow" fieldPosition="0">
        <references count="1">
          <reference field="4294967294" count="1" selected="0">
            <x v="1"/>
          </reference>
        </references>
      </pivotArea>
    </format>
    <format dxfId="901">
      <pivotArea field="0" dataOnly="0" labelOnly="1" grandRow="1" outline="0" axis="axisRow" fieldPosition="0">
        <references count="1">
          <reference field="4294967294" count="1" selected="0">
            <x v="2"/>
          </reference>
        </references>
      </pivotArea>
    </format>
    <format dxfId="900">
      <pivotArea field="0" dataOnly="0" labelOnly="1" grandRow="1" outline="0" axis="axisRow" fieldPosition="0">
        <references count="1">
          <reference field="4294967294" count="1" selected="0">
            <x v="3"/>
          </reference>
        </references>
      </pivotArea>
    </format>
    <format dxfId="899">
      <pivotArea field="0" dataOnly="0" labelOnly="1" grandRow="1" outline="0" axis="axisRow" fieldPosition="0">
        <references count="1">
          <reference field="4294967294" count="1" selected="0">
            <x v="4"/>
          </reference>
        </references>
      </pivotArea>
    </format>
    <format dxfId="898">
      <pivotArea field="0" dataOnly="0" labelOnly="1" grandRow="1" outline="0" axis="axisRow" fieldPosition="0">
        <references count="1">
          <reference field="4294967294" count="1" selected="0">
            <x v="5"/>
          </reference>
        </references>
      </pivotArea>
    </format>
    <format dxfId="897">
      <pivotArea field="0" dataOnly="0" labelOnly="1" grandRow="1" outline="0" axis="axisRow" fieldPosition="0">
        <references count="1">
          <reference field="4294967294" count="1" selected="0">
            <x v="6"/>
          </reference>
        </references>
      </pivotArea>
    </format>
    <format dxfId="896">
      <pivotArea field="0" dataOnly="0" labelOnly="1" grandRow="1" outline="0" axis="axisRow" fieldPosition="0">
        <references count="1">
          <reference field="4294967294" count="1" selected="0">
            <x v="7"/>
          </reference>
        </references>
      </pivotArea>
    </format>
    <format dxfId="895">
      <pivotArea field="0" dataOnly="0" labelOnly="1" grandRow="1" outline="0" axis="axisRow" fieldPosition="0">
        <references count="1">
          <reference field="4294967294" count="1" selected="0">
            <x v="8"/>
          </reference>
        </references>
      </pivotArea>
    </format>
    <format dxfId="894">
      <pivotArea field="0" dataOnly="0" labelOnly="1" grandRow="1" outline="0" axis="axisRow" fieldPosition="0">
        <references count="1">
          <reference field="4294967294" count="1" selected="0">
            <x v="9"/>
          </reference>
        </references>
      </pivotArea>
    </format>
    <format dxfId="893">
      <pivotArea field="0" dataOnly="0" labelOnly="1" grandRow="1" outline="0" axis="axisRow" fieldPosition="0">
        <references count="1">
          <reference field="4294967294" count="1" selected="0">
            <x v="10"/>
          </reference>
        </references>
      </pivotArea>
    </format>
    <format dxfId="892">
      <pivotArea field="0" dataOnly="0" labelOnly="1" grandRow="1" outline="0" axis="axisRow" fieldPosition="0">
        <references count="1">
          <reference field="4294967294" count="1" selected="0">
            <x v="11"/>
          </reference>
        </references>
      </pivotArea>
    </format>
    <format dxfId="891">
      <pivotArea field="0" dataOnly="0" labelOnly="1" grandRow="1" outline="0" axis="axisRow" fieldPosition="0">
        <references count="1">
          <reference field="4294967294" count="1" selected="0">
            <x v="12"/>
          </reference>
        </references>
      </pivotArea>
    </format>
    <format dxfId="890">
      <pivotArea field="0" dataOnly="0" labelOnly="1" grandRow="1" outline="0" axis="axisRow" fieldPosition="0">
        <references count="1">
          <reference field="4294967294" count="1" selected="0">
            <x v="13"/>
          </reference>
        </references>
      </pivotArea>
    </format>
    <format dxfId="889">
      <pivotArea field="0" dataOnly="0" labelOnly="1" grandRow="1" outline="0" axis="axisRow" fieldPosition="0">
        <references count="1">
          <reference field="4294967294" count="1" selected="0">
            <x v="14"/>
          </reference>
        </references>
      </pivotArea>
    </format>
    <format dxfId="888">
      <pivotArea field="0" dataOnly="0" labelOnly="1" grandRow="1" outline="0" axis="axisRow" fieldPosition="0">
        <references count="1">
          <reference field="4294967294" count="1" selected="0">
            <x v="15"/>
          </reference>
        </references>
      </pivotArea>
    </format>
    <format dxfId="887">
      <pivotArea field="0" dataOnly="0" labelOnly="1" grandRow="1" outline="0" axis="axisRow" fieldPosition="0">
        <references count="1">
          <reference field="4294967294" count="1" selected="0">
            <x v="16"/>
          </reference>
        </references>
      </pivotArea>
    </format>
    <format dxfId="886">
      <pivotArea field="0" dataOnly="0" labelOnly="1" grandRow="1" outline="0" axis="axisRow" fieldPosition="0">
        <references count="1">
          <reference field="4294967294" count="1" selected="0">
            <x v="17"/>
          </reference>
        </references>
      </pivotArea>
    </format>
    <format dxfId="885">
      <pivotArea field="0" dataOnly="0" labelOnly="1" grandRow="1" outline="0" axis="axisRow" fieldPosition="0">
        <references count="1">
          <reference field="4294967294" count="1" selected="0">
            <x v="18"/>
          </reference>
        </references>
      </pivotArea>
    </format>
    <format dxfId="884">
      <pivotArea field="0" dataOnly="0" labelOnly="1" grandRow="1" outline="0" axis="axisRow" fieldPosition="0">
        <references count="1">
          <reference field="4294967294" count="1" selected="0">
            <x v="19"/>
          </reference>
        </references>
      </pivotArea>
    </format>
    <format dxfId="883">
      <pivotArea field="0" dataOnly="0" labelOnly="1" grandRow="1" outline="0" axis="axisRow" fieldPosition="0">
        <references count="1">
          <reference field="4294967294" count="1" selected="0">
            <x v="20"/>
          </reference>
        </references>
      </pivotArea>
    </format>
    <format dxfId="882">
      <pivotArea field="0" dataOnly="0" labelOnly="1" grandRow="1" outline="0" axis="axisRow" fieldPosition="0">
        <references count="1">
          <reference field="4294967294" count="1" selected="0">
            <x v="21"/>
          </reference>
        </references>
      </pivotArea>
    </format>
    <format dxfId="881">
      <pivotArea field="0" dataOnly="0" labelOnly="1" grandRow="1" outline="0" axis="axisRow" fieldPosition="0">
        <references count="1">
          <reference field="4294967294" count="1" selected="0">
            <x v="22"/>
          </reference>
        </references>
      </pivotArea>
    </format>
    <format dxfId="880">
      <pivotArea field="0" dataOnly="0" labelOnly="1" grandRow="1" outline="0" axis="axisRow" fieldPosition="0">
        <references count="1">
          <reference field="4294967294" count="1" selected="0">
            <x v="23"/>
          </reference>
        </references>
      </pivotArea>
    </format>
    <format dxfId="879">
      <pivotArea field="0" dataOnly="0" labelOnly="1" grandRow="1" outline="0" axis="axisRow" fieldPosition="0">
        <references count="1">
          <reference field="4294967294" count="1" selected="0">
            <x v="24"/>
          </reference>
        </references>
      </pivotArea>
    </format>
    <format dxfId="878">
      <pivotArea field="0" dataOnly="0" labelOnly="1" grandRow="1" outline="0" axis="axisRow" fieldPosition="0">
        <references count="1">
          <reference field="4294967294" count="1" selected="0">
            <x v="25"/>
          </reference>
        </references>
      </pivotArea>
    </format>
    <format dxfId="877">
      <pivotArea field="0" dataOnly="0" labelOnly="1" grandRow="1" outline="0" axis="axisRow" fieldPosition="0">
        <references count="1">
          <reference field="4294967294" count="1" selected="0">
            <x v="26"/>
          </reference>
        </references>
      </pivotArea>
    </format>
    <format dxfId="876">
      <pivotArea field="0" dataOnly="0" labelOnly="1" grandRow="1" outline="0" axis="axisRow" fieldPosition="0">
        <references count="1">
          <reference field="4294967294" count="1" selected="0">
            <x v="27"/>
          </reference>
        </references>
      </pivotArea>
    </format>
    <format dxfId="875">
      <pivotArea field="0" dataOnly="0" labelOnly="1" grandRow="1" outline="0" axis="axisRow" fieldPosition="0">
        <references count="1">
          <reference field="4294967294" count="1" selected="0">
            <x v="28"/>
          </reference>
        </references>
      </pivotArea>
    </format>
    <format dxfId="874">
      <pivotArea field="0" dataOnly="0" labelOnly="1" grandRow="1" outline="0" axis="axisRow" fieldPosition="0">
        <references count="1">
          <reference field="4294967294" count="1" selected="0">
            <x v="29"/>
          </reference>
        </references>
      </pivotArea>
    </format>
    <format dxfId="873">
      <pivotArea field="0" dataOnly="0" labelOnly="1" grandRow="1" outline="0" axis="axisRow" fieldPosition="0">
        <references count="1">
          <reference field="4294967294" count="1" selected="0">
            <x v="30"/>
          </reference>
        </references>
      </pivotArea>
    </format>
    <format dxfId="872">
      <pivotArea field="0" dataOnly="0" labelOnly="1" grandRow="1" outline="0" axis="axisRow" fieldPosition="0">
        <references count="1">
          <reference field="4294967294" count="1" selected="0">
            <x v="31"/>
          </reference>
        </references>
      </pivotArea>
    </format>
    <format dxfId="871">
      <pivotArea field="0" dataOnly="0" labelOnly="1" grandRow="1" outline="0" axis="axisRow" fieldPosition="0">
        <references count="1">
          <reference field="4294967294" count="1" selected="0">
            <x v="32"/>
          </reference>
        </references>
      </pivotArea>
    </format>
    <format dxfId="870">
      <pivotArea field="0" dataOnly="0" labelOnly="1" grandRow="1" outline="0" axis="axisRow" fieldPosition="0">
        <references count="1">
          <reference field="4294967294" count="1" selected="0">
            <x v="33"/>
          </reference>
        </references>
      </pivotArea>
    </format>
    <format dxfId="869">
      <pivotArea field="0" dataOnly="0" labelOnly="1" grandRow="1" outline="0" axis="axisRow" fieldPosition="0">
        <references count="1">
          <reference field="4294967294" count="1" selected="0">
            <x v="34"/>
          </reference>
        </references>
      </pivotArea>
    </format>
    <format dxfId="868">
      <pivotArea field="0" dataOnly="0" labelOnly="1" grandRow="1" outline="0" axis="axisRow" fieldPosition="0">
        <references count="1">
          <reference field="4294967294" count="1" selected="0">
            <x v="35"/>
          </reference>
        </references>
      </pivotArea>
    </format>
    <format dxfId="867">
      <pivotArea field="0" dataOnly="0" labelOnly="1" grandRow="1" outline="0" axis="axisRow" fieldPosition="0">
        <references count="1">
          <reference field="4294967294" count="1" selected="0">
            <x v="0"/>
          </reference>
        </references>
      </pivotArea>
    </format>
    <format dxfId="866">
      <pivotArea field="0" dataOnly="0" labelOnly="1" grandRow="1" outline="0" axis="axisRow" fieldPosition="0">
        <references count="1">
          <reference field="4294967294" count="1" selected="0">
            <x v="1"/>
          </reference>
        </references>
      </pivotArea>
    </format>
    <format dxfId="865">
      <pivotArea field="0" dataOnly="0" labelOnly="1" grandRow="1" outline="0" axis="axisRow" fieldPosition="0">
        <references count="1">
          <reference field="4294967294" count="1" selected="0">
            <x v="2"/>
          </reference>
        </references>
      </pivotArea>
    </format>
    <format dxfId="864">
      <pivotArea field="0" dataOnly="0" labelOnly="1" grandRow="1" outline="0" axis="axisRow" fieldPosition="0">
        <references count="1">
          <reference field="4294967294" count="1" selected="0">
            <x v="3"/>
          </reference>
        </references>
      </pivotArea>
    </format>
    <format dxfId="863">
      <pivotArea field="0" dataOnly="0" labelOnly="1" grandRow="1" outline="0" axis="axisRow" fieldPosition="0">
        <references count="1">
          <reference field="4294967294" count="1" selected="0">
            <x v="4"/>
          </reference>
        </references>
      </pivotArea>
    </format>
    <format dxfId="862">
      <pivotArea field="0" dataOnly="0" labelOnly="1" grandRow="1" outline="0" axis="axisRow" fieldPosition="0">
        <references count="1">
          <reference field="4294967294" count="1" selected="0">
            <x v="5"/>
          </reference>
        </references>
      </pivotArea>
    </format>
    <format dxfId="861">
      <pivotArea field="0" dataOnly="0" labelOnly="1" grandRow="1" outline="0" axis="axisRow" fieldPosition="0">
        <references count="1">
          <reference field="4294967294" count="1" selected="0">
            <x v="6"/>
          </reference>
        </references>
      </pivotArea>
    </format>
    <format dxfId="860">
      <pivotArea field="0" dataOnly="0" labelOnly="1" grandRow="1" outline="0" axis="axisRow" fieldPosition="0">
        <references count="1">
          <reference field="4294967294" count="1" selected="0">
            <x v="7"/>
          </reference>
        </references>
      </pivotArea>
    </format>
    <format dxfId="859">
      <pivotArea field="0" dataOnly="0" labelOnly="1" grandRow="1" outline="0" axis="axisRow" fieldPosition="0">
        <references count="1">
          <reference field="4294967294" count="1" selected="0">
            <x v="8"/>
          </reference>
        </references>
      </pivotArea>
    </format>
    <format dxfId="858">
      <pivotArea field="0" dataOnly="0" labelOnly="1" grandRow="1" outline="0" axis="axisRow" fieldPosition="0">
        <references count="1">
          <reference field="4294967294" count="1" selected="0">
            <x v="9"/>
          </reference>
        </references>
      </pivotArea>
    </format>
    <format dxfId="857">
      <pivotArea field="0" dataOnly="0" labelOnly="1" grandRow="1" outline="0" axis="axisRow" fieldPosition="0">
        <references count="1">
          <reference field="4294967294" count="1" selected="0">
            <x v="10"/>
          </reference>
        </references>
      </pivotArea>
    </format>
    <format dxfId="856">
      <pivotArea field="0" dataOnly="0" labelOnly="1" grandRow="1" outline="0" axis="axisRow" fieldPosition="0">
        <references count="1">
          <reference field="4294967294" count="1" selected="0">
            <x v="11"/>
          </reference>
        </references>
      </pivotArea>
    </format>
    <format dxfId="855">
      <pivotArea field="0" dataOnly="0" labelOnly="1" grandRow="1" outline="0" axis="axisRow" fieldPosition="0">
        <references count="1">
          <reference field="4294967294" count="1" selected="0">
            <x v="12"/>
          </reference>
        </references>
      </pivotArea>
    </format>
    <format dxfId="854">
      <pivotArea field="0" dataOnly="0" labelOnly="1" grandRow="1" outline="0" axis="axisRow" fieldPosition="0">
        <references count="1">
          <reference field="4294967294" count="1" selected="0">
            <x v="13"/>
          </reference>
        </references>
      </pivotArea>
    </format>
    <format dxfId="853">
      <pivotArea field="0" dataOnly="0" labelOnly="1" grandRow="1" outline="0" axis="axisRow" fieldPosition="0">
        <references count="1">
          <reference field="4294967294" count="1" selected="0">
            <x v="14"/>
          </reference>
        </references>
      </pivotArea>
    </format>
    <format dxfId="852">
      <pivotArea field="0" dataOnly="0" labelOnly="1" grandRow="1" outline="0" axis="axisRow" fieldPosition="0">
        <references count="1">
          <reference field="4294967294" count="1" selected="0">
            <x v="15"/>
          </reference>
        </references>
      </pivotArea>
    </format>
    <format dxfId="851">
      <pivotArea field="0" dataOnly="0" labelOnly="1" grandRow="1" outline="0" axis="axisRow" fieldPosition="0">
        <references count="1">
          <reference field="4294967294" count="1" selected="0">
            <x v="16"/>
          </reference>
        </references>
      </pivotArea>
    </format>
    <format dxfId="850">
      <pivotArea field="0" dataOnly="0" labelOnly="1" grandRow="1" outline="0" axis="axisRow" fieldPosition="0">
        <references count="1">
          <reference field="4294967294" count="1" selected="0">
            <x v="17"/>
          </reference>
        </references>
      </pivotArea>
    </format>
    <format dxfId="849">
      <pivotArea field="0" dataOnly="0" labelOnly="1" grandRow="1" outline="0" axis="axisRow" fieldPosition="0">
        <references count="1">
          <reference field="4294967294" count="1" selected="0">
            <x v="18"/>
          </reference>
        </references>
      </pivotArea>
    </format>
    <format dxfId="848">
      <pivotArea field="0" dataOnly="0" labelOnly="1" grandRow="1" outline="0" axis="axisRow" fieldPosition="0">
        <references count="1">
          <reference field="4294967294" count="1" selected="0">
            <x v="19"/>
          </reference>
        </references>
      </pivotArea>
    </format>
    <format dxfId="847">
      <pivotArea field="0" dataOnly="0" labelOnly="1" grandRow="1" outline="0" axis="axisRow" fieldPosition="0">
        <references count="1">
          <reference field="4294967294" count="1" selected="0">
            <x v="20"/>
          </reference>
        </references>
      </pivotArea>
    </format>
    <format dxfId="846">
      <pivotArea field="0" dataOnly="0" labelOnly="1" grandRow="1" outline="0" axis="axisRow" fieldPosition="0">
        <references count="1">
          <reference field="4294967294" count="1" selected="0">
            <x v="21"/>
          </reference>
        </references>
      </pivotArea>
    </format>
    <format dxfId="845">
      <pivotArea field="0" dataOnly="0" labelOnly="1" grandRow="1" outline="0" axis="axisRow" fieldPosition="0">
        <references count="1">
          <reference field="4294967294" count="1" selected="0">
            <x v="22"/>
          </reference>
        </references>
      </pivotArea>
    </format>
    <format dxfId="844">
      <pivotArea field="0" dataOnly="0" labelOnly="1" grandRow="1" outline="0" axis="axisRow" fieldPosition="0">
        <references count="1">
          <reference field="4294967294" count="1" selected="0">
            <x v="23"/>
          </reference>
        </references>
      </pivotArea>
    </format>
    <format dxfId="843">
      <pivotArea field="0" dataOnly="0" labelOnly="1" grandRow="1" outline="0" axis="axisRow" fieldPosition="0">
        <references count="1">
          <reference field="4294967294" count="1" selected="0">
            <x v="24"/>
          </reference>
        </references>
      </pivotArea>
    </format>
    <format dxfId="842">
      <pivotArea field="0" dataOnly="0" labelOnly="1" grandRow="1" outline="0" axis="axisRow" fieldPosition="0">
        <references count="1">
          <reference field="4294967294" count="1" selected="0">
            <x v="25"/>
          </reference>
        </references>
      </pivotArea>
    </format>
    <format dxfId="841">
      <pivotArea field="0" dataOnly="0" labelOnly="1" grandRow="1" outline="0" axis="axisRow" fieldPosition="0">
        <references count="1">
          <reference field="4294967294" count="1" selected="0">
            <x v="26"/>
          </reference>
        </references>
      </pivotArea>
    </format>
    <format dxfId="840">
      <pivotArea field="0" dataOnly="0" labelOnly="1" grandRow="1" outline="0" axis="axisRow" fieldPosition="0">
        <references count="1">
          <reference field="4294967294" count="1" selected="0">
            <x v="27"/>
          </reference>
        </references>
      </pivotArea>
    </format>
    <format dxfId="839">
      <pivotArea field="0" dataOnly="0" labelOnly="1" grandRow="1" outline="0" axis="axisRow" fieldPosition="0">
        <references count="1">
          <reference field="4294967294" count="1" selected="0">
            <x v="28"/>
          </reference>
        </references>
      </pivotArea>
    </format>
    <format dxfId="838">
      <pivotArea field="0" dataOnly="0" labelOnly="1" grandRow="1" outline="0" axis="axisRow" fieldPosition="0">
        <references count="1">
          <reference field="4294967294" count="1" selected="0">
            <x v="29"/>
          </reference>
        </references>
      </pivotArea>
    </format>
    <format dxfId="837">
      <pivotArea field="0" dataOnly="0" labelOnly="1" grandRow="1" outline="0" axis="axisRow" fieldPosition="0">
        <references count="1">
          <reference field="4294967294" count="1" selected="0">
            <x v="30"/>
          </reference>
        </references>
      </pivotArea>
    </format>
    <format dxfId="836">
      <pivotArea field="0" dataOnly="0" labelOnly="1" grandRow="1" outline="0" axis="axisRow" fieldPosition="0">
        <references count="1">
          <reference field="4294967294" count="1" selected="0">
            <x v="31"/>
          </reference>
        </references>
      </pivotArea>
    </format>
    <format dxfId="835">
      <pivotArea field="0" dataOnly="0" labelOnly="1" grandRow="1" outline="0" axis="axisRow" fieldPosition="0">
        <references count="1">
          <reference field="4294967294" count="1" selected="0">
            <x v="32"/>
          </reference>
        </references>
      </pivotArea>
    </format>
    <format dxfId="834">
      <pivotArea field="0" dataOnly="0" labelOnly="1" grandRow="1" outline="0" axis="axisRow" fieldPosition="0">
        <references count="1">
          <reference field="4294967294" count="1" selected="0">
            <x v="33"/>
          </reference>
        </references>
      </pivotArea>
    </format>
    <format dxfId="833">
      <pivotArea field="0" dataOnly="0" labelOnly="1" grandRow="1" outline="0" axis="axisRow" fieldPosition="0">
        <references count="1">
          <reference field="4294967294" count="1" selected="0">
            <x v="34"/>
          </reference>
        </references>
      </pivotArea>
    </format>
    <format dxfId="832">
      <pivotArea field="0" dataOnly="0" labelOnly="1" grandRow="1" outline="0" axis="axisRow" fieldPosition="0">
        <references count="1">
          <reference field="4294967294" count="1" selected="0">
            <x v="35"/>
          </reference>
        </references>
      </pivotArea>
    </format>
    <format dxfId="831">
      <pivotArea field="0" dataOnly="0" labelOnly="1" grandRow="1" outline="0" axis="axisRow" fieldPosition="0">
        <references count="1">
          <reference field="4294967294" count="1" selected="0">
            <x v="0"/>
          </reference>
        </references>
      </pivotArea>
    </format>
    <format dxfId="830">
      <pivotArea field="0" dataOnly="0" labelOnly="1" grandRow="1" outline="0" axis="axisRow" fieldPosition="0">
        <references count="1">
          <reference field="4294967294" count="1" selected="0">
            <x v="1"/>
          </reference>
        </references>
      </pivotArea>
    </format>
    <format dxfId="829">
      <pivotArea field="0" dataOnly="0" labelOnly="1" grandRow="1" outline="0" axis="axisRow" fieldPosition="0">
        <references count="1">
          <reference field="4294967294" count="1" selected="0">
            <x v="2"/>
          </reference>
        </references>
      </pivotArea>
    </format>
    <format dxfId="828">
      <pivotArea field="0" dataOnly="0" labelOnly="1" grandRow="1" outline="0" axis="axisRow" fieldPosition="0">
        <references count="1">
          <reference field="4294967294" count="1" selected="0">
            <x v="3"/>
          </reference>
        </references>
      </pivotArea>
    </format>
    <format dxfId="827">
      <pivotArea field="0" dataOnly="0" labelOnly="1" grandRow="1" outline="0" axis="axisRow" fieldPosition="0">
        <references count="1">
          <reference field="4294967294" count="1" selected="0">
            <x v="4"/>
          </reference>
        </references>
      </pivotArea>
    </format>
    <format dxfId="826">
      <pivotArea field="0" dataOnly="0" labelOnly="1" grandRow="1" outline="0" axis="axisRow" fieldPosition="0">
        <references count="1">
          <reference field="4294967294" count="1" selected="0">
            <x v="5"/>
          </reference>
        </references>
      </pivotArea>
    </format>
    <format dxfId="825">
      <pivotArea field="0" dataOnly="0" labelOnly="1" grandRow="1" outline="0" axis="axisRow" fieldPosition="0">
        <references count="1">
          <reference field="4294967294" count="1" selected="0">
            <x v="6"/>
          </reference>
        </references>
      </pivotArea>
    </format>
    <format dxfId="824">
      <pivotArea field="0" dataOnly="0" labelOnly="1" grandRow="1" outline="0" axis="axisRow" fieldPosition="0">
        <references count="1">
          <reference field="4294967294" count="1" selected="0">
            <x v="7"/>
          </reference>
        </references>
      </pivotArea>
    </format>
    <format dxfId="823">
      <pivotArea field="0" dataOnly="0" labelOnly="1" grandRow="1" outline="0" axis="axisRow" fieldPosition="0">
        <references count="1">
          <reference field="4294967294" count="1" selected="0">
            <x v="8"/>
          </reference>
        </references>
      </pivotArea>
    </format>
    <format dxfId="822">
      <pivotArea field="0" dataOnly="0" labelOnly="1" grandRow="1" outline="0" axis="axisRow" fieldPosition="0">
        <references count="1">
          <reference field="4294967294" count="1" selected="0">
            <x v="9"/>
          </reference>
        </references>
      </pivotArea>
    </format>
    <format dxfId="821">
      <pivotArea field="0" dataOnly="0" labelOnly="1" grandRow="1" outline="0" axis="axisRow" fieldPosition="0">
        <references count="1">
          <reference field="4294967294" count="1" selected="0">
            <x v="10"/>
          </reference>
        </references>
      </pivotArea>
    </format>
    <format dxfId="820">
      <pivotArea field="0" dataOnly="0" labelOnly="1" grandRow="1" outline="0" axis="axisRow" fieldPosition="0">
        <references count="1">
          <reference field="4294967294" count="1" selected="0">
            <x v="11"/>
          </reference>
        </references>
      </pivotArea>
    </format>
    <format dxfId="819">
      <pivotArea field="0" dataOnly="0" labelOnly="1" grandRow="1" outline="0" axis="axisRow" fieldPosition="0">
        <references count="1">
          <reference field="4294967294" count="1" selected="0">
            <x v="12"/>
          </reference>
        </references>
      </pivotArea>
    </format>
    <format dxfId="818">
      <pivotArea field="0" dataOnly="0" labelOnly="1" grandRow="1" outline="0" axis="axisRow" fieldPosition="0">
        <references count="1">
          <reference field="4294967294" count="1" selected="0">
            <x v="13"/>
          </reference>
        </references>
      </pivotArea>
    </format>
    <format dxfId="817">
      <pivotArea field="0" dataOnly="0" labelOnly="1" grandRow="1" outline="0" axis="axisRow" fieldPosition="0">
        <references count="1">
          <reference field="4294967294" count="1" selected="0">
            <x v="14"/>
          </reference>
        </references>
      </pivotArea>
    </format>
    <format dxfId="816">
      <pivotArea field="0" dataOnly="0" labelOnly="1" grandRow="1" outline="0" axis="axisRow" fieldPosition="0">
        <references count="1">
          <reference field="4294967294" count="1" selected="0">
            <x v="15"/>
          </reference>
        </references>
      </pivotArea>
    </format>
    <format dxfId="815">
      <pivotArea field="0" dataOnly="0" labelOnly="1" grandRow="1" outline="0" axis="axisRow" fieldPosition="0">
        <references count="1">
          <reference field="4294967294" count="1" selected="0">
            <x v="16"/>
          </reference>
        </references>
      </pivotArea>
    </format>
    <format dxfId="814">
      <pivotArea field="0" dataOnly="0" labelOnly="1" grandRow="1" outline="0" axis="axisRow" fieldPosition="0">
        <references count="1">
          <reference field="4294967294" count="1" selected="0">
            <x v="17"/>
          </reference>
        </references>
      </pivotArea>
    </format>
    <format dxfId="813">
      <pivotArea field="0" dataOnly="0" labelOnly="1" grandRow="1" outline="0" axis="axisRow" fieldPosition="0">
        <references count="1">
          <reference field="4294967294" count="1" selected="0">
            <x v="18"/>
          </reference>
        </references>
      </pivotArea>
    </format>
    <format dxfId="812">
      <pivotArea field="0" dataOnly="0" labelOnly="1" grandRow="1" outline="0" axis="axisRow" fieldPosition="0">
        <references count="1">
          <reference field="4294967294" count="1" selected="0">
            <x v="19"/>
          </reference>
        </references>
      </pivotArea>
    </format>
    <format dxfId="811">
      <pivotArea field="0" dataOnly="0" labelOnly="1" grandRow="1" outline="0" axis="axisRow" fieldPosition="0">
        <references count="1">
          <reference field="4294967294" count="1" selected="0">
            <x v="20"/>
          </reference>
        </references>
      </pivotArea>
    </format>
    <format dxfId="810">
      <pivotArea field="0" dataOnly="0" labelOnly="1" grandRow="1" outline="0" axis="axisRow" fieldPosition="0">
        <references count="1">
          <reference field="4294967294" count="1" selected="0">
            <x v="21"/>
          </reference>
        </references>
      </pivotArea>
    </format>
    <format dxfId="809">
      <pivotArea field="0" dataOnly="0" labelOnly="1" grandRow="1" outline="0" axis="axisRow" fieldPosition="0">
        <references count="1">
          <reference field="4294967294" count="1" selected="0">
            <x v="22"/>
          </reference>
        </references>
      </pivotArea>
    </format>
    <format dxfId="808">
      <pivotArea field="0" dataOnly="0" labelOnly="1" grandRow="1" outline="0" axis="axisRow" fieldPosition="0">
        <references count="1">
          <reference field="4294967294" count="1" selected="0">
            <x v="23"/>
          </reference>
        </references>
      </pivotArea>
    </format>
    <format dxfId="807">
      <pivotArea field="0" dataOnly="0" labelOnly="1" grandRow="1" outline="0" axis="axisRow" fieldPosition="0">
        <references count="1">
          <reference field="4294967294" count="1" selected="0">
            <x v="24"/>
          </reference>
        </references>
      </pivotArea>
    </format>
    <format dxfId="806">
      <pivotArea field="0" dataOnly="0" labelOnly="1" grandRow="1" outline="0" axis="axisRow" fieldPosition="0">
        <references count="1">
          <reference field="4294967294" count="1" selected="0">
            <x v="25"/>
          </reference>
        </references>
      </pivotArea>
    </format>
    <format dxfId="805">
      <pivotArea field="0" dataOnly="0" labelOnly="1" grandRow="1" outline="0" axis="axisRow" fieldPosition="0">
        <references count="1">
          <reference field="4294967294" count="1" selected="0">
            <x v="26"/>
          </reference>
        </references>
      </pivotArea>
    </format>
    <format dxfId="804">
      <pivotArea field="0" dataOnly="0" labelOnly="1" grandRow="1" outline="0" axis="axisRow" fieldPosition="0">
        <references count="1">
          <reference field="4294967294" count="1" selected="0">
            <x v="27"/>
          </reference>
        </references>
      </pivotArea>
    </format>
    <format dxfId="803">
      <pivotArea field="0" dataOnly="0" labelOnly="1" grandRow="1" outline="0" axis="axisRow" fieldPosition="0">
        <references count="1">
          <reference field="4294967294" count="1" selected="0">
            <x v="28"/>
          </reference>
        </references>
      </pivotArea>
    </format>
    <format dxfId="802">
      <pivotArea field="0" dataOnly="0" labelOnly="1" grandRow="1" outline="0" axis="axisRow" fieldPosition="0">
        <references count="1">
          <reference field="4294967294" count="1" selected="0">
            <x v="29"/>
          </reference>
        </references>
      </pivotArea>
    </format>
    <format dxfId="801">
      <pivotArea field="0" dataOnly="0" labelOnly="1" grandRow="1" outline="0" axis="axisRow" fieldPosition="0">
        <references count="1">
          <reference field="4294967294" count="1" selected="0">
            <x v="30"/>
          </reference>
        </references>
      </pivotArea>
    </format>
    <format dxfId="800">
      <pivotArea field="0" dataOnly="0" labelOnly="1" grandRow="1" outline="0" axis="axisRow" fieldPosition="0">
        <references count="1">
          <reference field="4294967294" count="1" selected="0">
            <x v="31"/>
          </reference>
        </references>
      </pivotArea>
    </format>
    <format dxfId="799">
      <pivotArea field="0" dataOnly="0" labelOnly="1" grandRow="1" outline="0" axis="axisRow" fieldPosition="0">
        <references count="1">
          <reference field="4294967294" count="1" selected="0">
            <x v="32"/>
          </reference>
        </references>
      </pivotArea>
    </format>
    <format dxfId="798">
      <pivotArea field="0" dataOnly="0" labelOnly="1" grandRow="1" outline="0" axis="axisRow" fieldPosition="0">
        <references count="1">
          <reference field="4294967294" count="1" selected="0">
            <x v="33"/>
          </reference>
        </references>
      </pivotArea>
    </format>
    <format dxfId="797">
      <pivotArea field="0" dataOnly="0" labelOnly="1" grandRow="1" outline="0" axis="axisRow" fieldPosition="0">
        <references count="1">
          <reference field="4294967294" count="1" selected="0">
            <x v="34"/>
          </reference>
        </references>
      </pivotArea>
    </format>
    <format dxfId="796">
      <pivotArea field="0" dataOnly="0" labelOnly="1" grandRow="1" outline="0" axis="axisRow" fieldPosition="0">
        <references count="1">
          <reference field="4294967294" count="1" selected="0">
            <x v="35"/>
          </reference>
        </references>
      </pivotArea>
    </format>
    <format dxfId="795">
      <pivotArea field="0" dataOnly="0" labelOnly="1" grandRow="1" outline="0" axis="axisRow" fieldPosition="0">
        <references count="1">
          <reference field="4294967294" count="1" selected="0">
            <x v="0"/>
          </reference>
        </references>
      </pivotArea>
    </format>
    <format dxfId="794">
      <pivotArea field="0" dataOnly="0" labelOnly="1" grandRow="1" outline="0" axis="axisRow" fieldPosition="0">
        <references count="1">
          <reference field="4294967294" count="1" selected="0">
            <x v="1"/>
          </reference>
        </references>
      </pivotArea>
    </format>
    <format dxfId="793">
      <pivotArea field="0" dataOnly="0" labelOnly="1" grandRow="1" outline="0" axis="axisRow" fieldPosition="0">
        <references count="1">
          <reference field="4294967294" count="1" selected="0">
            <x v="2"/>
          </reference>
        </references>
      </pivotArea>
    </format>
    <format dxfId="792">
      <pivotArea field="0" dataOnly="0" labelOnly="1" grandRow="1" outline="0" axis="axisRow" fieldPosition="0">
        <references count="1">
          <reference field="4294967294" count="1" selected="0">
            <x v="3"/>
          </reference>
        </references>
      </pivotArea>
    </format>
    <format dxfId="791">
      <pivotArea field="0" dataOnly="0" labelOnly="1" grandRow="1" outline="0" axis="axisRow" fieldPosition="0">
        <references count="1">
          <reference field="4294967294" count="1" selected="0">
            <x v="4"/>
          </reference>
        </references>
      </pivotArea>
    </format>
    <format dxfId="790">
      <pivotArea field="0" dataOnly="0" labelOnly="1" grandRow="1" outline="0" axis="axisRow" fieldPosition="0">
        <references count="1">
          <reference field="4294967294" count="1" selected="0">
            <x v="5"/>
          </reference>
        </references>
      </pivotArea>
    </format>
    <format dxfId="789">
      <pivotArea field="0" dataOnly="0" labelOnly="1" grandRow="1" outline="0" axis="axisRow" fieldPosition="0">
        <references count="1">
          <reference field="4294967294" count="1" selected="0">
            <x v="6"/>
          </reference>
        </references>
      </pivotArea>
    </format>
    <format dxfId="788">
      <pivotArea field="0" dataOnly="0" labelOnly="1" grandRow="1" outline="0" axis="axisRow" fieldPosition="0">
        <references count="1">
          <reference field="4294967294" count="1" selected="0">
            <x v="7"/>
          </reference>
        </references>
      </pivotArea>
    </format>
    <format dxfId="787">
      <pivotArea field="0" dataOnly="0" labelOnly="1" grandRow="1" outline="0" axis="axisRow" fieldPosition="0">
        <references count="1">
          <reference field="4294967294" count="1" selected="0">
            <x v="8"/>
          </reference>
        </references>
      </pivotArea>
    </format>
    <format dxfId="786">
      <pivotArea field="0" dataOnly="0" labelOnly="1" grandRow="1" outline="0" axis="axisRow" fieldPosition="0">
        <references count="1">
          <reference field="4294967294" count="1" selected="0">
            <x v="9"/>
          </reference>
        </references>
      </pivotArea>
    </format>
    <format dxfId="785">
      <pivotArea field="0" dataOnly="0" labelOnly="1" grandRow="1" outline="0" axis="axisRow" fieldPosition="0">
        <references count="1">
          <reference field="4294967294" count="1" selected="0">
            <x v="10"/>
          </reference>
        </references>
      </pivotArea>
    </format>
    <format dxfId="784">
      <pivotArea field="0" dataOnly="0" labelOnly="1" grandRow="1" outline="0" axis="axisRow" fieldPosition="0">
        <references count="1">
          <reference field="4294967294" count="1" selected="0">
            <x v="11"/>
          </reference>
        </references>
      </pivotArea>
    </format>
    <format dxfId="783">
      <pivotArea field="0" dataOnly="0" labelOnly="1" grandRow="1" outline="0" axis="axisRow" fieldPosition="0">
        <references count="1">
          <reference field="4294967294" count="1" selected="0">
            <x v="12"/>
          </reference>
        </references>
      </pivotArea>
    </format>
    <format dxfId="782">
      <pivotArea field="0" dataOnly="0" labelOnly="1" grandRow="1" outline="0" axis="axisRow" fieldPosition="0">
        <references count="1">
          <reference field="4294967294" count="1" selected="0">
            <x v="13"/>
          </reference>
        </references>
      </pivotArea>
    </format>
    <format dxfId="781">
      <pivotArea field="0" dataOnly="0" labelOnly="1" grandRow="1" outline="0" axis="axisRow" fieldPosition="0">
        <references count="1">
          <reference field="4294967294" count="1" selected="0">
            <x v="14"/>
          </reference>
        </references>
      </pivotArea>
    </format>
    <format dxfId="780">
      <pivotArea field="0" dataOnly="0" labelOnly="1" grandRow="1" outline="0" axis="axisRow" fieldPosition="0">
        <references count="1">
          <reference field="4294967294" count="1" selected="0">
            <x v="15"/>
          </reference>
        </references>
      </pivotArea>
    </format>
    <format dxfId="779">
      <pivotArea field="0" dataOnly="0" labelOnly="1" grandRow="1" outline="0" axis="axisRow" fieldPosition="0">
        <references count="1">
          <reference field="4294967294" count="1" selected="0">
            <x v="16"/>
          </reference>
        </references>
      </pivotArea>
    </format>
    <format dxfId="778">
      <pivotArea field="0" dataOnly="0" labelOnly="1" grandRow="1" outline="0" axis="axisRow" fieldPosition="0">
        <references count="1">
          <reference field="4294967294" count="1" selected="0">
            <x v="17"/>
          </reference>
        </references>
      </pivotArea>
    </format>
    <format dxfId="777">
      <pivotArea field="0" dataOnly="0" labelOnly="1" grandRow="1" outline="0" axis="axisRow" fieldPosition="0">
        <references count="1">
          <reference field="4294967294" count="1" selected="0">
            <x v="18"/>
          </reference>
        </references>
      </pivotArea>
    </format>
    <format dxfId="776">
      <pivotArea field="0" dataOnly="0" labelOnly="1" grandRow="1" outline="0" axis="axisRow" fieldPosition="0">
        <references count="1">
          <reference field="4294967294" count="1" selected="0">
            <x v="19"/>
          </reference>
        </references>
      </pivotArea>
    </format>
    <format dxfId="775">
      <pivotArea field="0" dataOnly="0" labelOnly="1" grandRow="1" outline="0" axis="axisRow" fieldPosition="0">
        <references count="1">
          <reference field="4294967294" count="1" selected="0">
            <x v="20"/>
          </reference>
        </references>
      </pivotArea>
    </format>
    <format dxfId="774">
      <pivotArea field="0" dataOnly="0" labelOnly="1" grandRow="1" outline="0" axis="axisRow" fieldPosition="0">
        <references count="1">
          <reference field="4294967294" count="1" selected="0">
            <x v="21"/>
          </reference>
        </references>
      </pivotArea>
    </format>
    <format dxfId="773">
      <pivotArea field="0" dataOnly="0" labelOnly="1" grandRow="1" outline="0" axis="axisRow" fieldPosition="0">
        <references count="1">
          <reference field="4294967294" count="1" selected="0">
            <x v="22"/>
          </reference>
        </references>
      </pivotArea>
    </format>
    <format dxfId="772">
      <pivotArea field="0" dataOnly="0" labelOnly="1" grandRow="1" outline="0" axis="axisRow" fieldPosition="0">
        <references count="1">
          <reference field="4294967294" count="1" selected="0">
            <x v="23"/>
          </reference>
        </references>
      </pivotArea>
    </format>
    <format dxfId="771">
      <pivotArea field="0" dataOnly="0" labelOnly="1" grandRow="1" outline="0" axis="axisRow" fieldPosition="0">
        <references count="1">
          <reference field="4294967294" count="1" selected="0">
            <x v="24"/>
          </reference>
        </references>
      </pivotArea>
    </format>
    <format dxfId="770">
      <pivotArea field="0" dataOnly="0" labelOnly="1" grandRow="1" outline="0" axis="axisRow" fieldPosition="0">
        <references count="1">
          <reference field="4294967294" count="1" selected="0">
            <x v="25"/>
          </reference>
        </references>
      </pivotArea>
    </format>
    <format dxfId="769">
      <pivotArea field="0" dataOnly="0" labelOnly="1" grandRow="1" outline="0" axis="axisRow" fieldPosition="0">
        <references count="1">
          <reference field="4294967294" count="1" selected="0">
            <x v="26"/>
          </reference>
        </references>
      </pivotArea>
    </format>
    <format dxfId="768">
      <pivotArea field="0" dataOnly="0" labelOnly="1" grandRow="1" outline="0" axis="axisRow" fieldPosition="0">
        <references count="1">
          <reference field="4294967294" count="1" selected="0">
            <x v="27"/>
          </reference>
        </references>
      </pivotArea>
    </format>
    <format dxfId="767">
      <pivotArea field="0" dataOnly="0" labelOnly="1" grandRow="1" outline="0" axis="axisRow" fieldPosition="0">
        <references count="1">
          <reference field="4294967294" count="1" selected="0">
            <x v="28"/>
          </reference>
        </references>
      </pivotArea>
    </format>
    <format dxfId="766">
      <pivotArea field="0" dataOnly="0" labelOnly="1" grandRow="1" outline="0" axis="axisRow" fieldPosition="0">
        <references count="1">
          <reference field="4294967294" count="1" selected="0">
            <x v="29"/>
          </reference>
        </references>
      </pivotArea>
    </format>
    <format dxfId="765">
      <pivotArea field="0" dataOnly="0" labelOnly="1" grandRow="1" outline="0" axis="axisRow" fieldPosition="0">
        <references count="1">
          <reference field="4294967294" count="1" selected="0">
            <x v="30"/>
          </reference>
        </references>
      </pivotArea>
    </format>
    <format dxfId="764">
      <pivotArea field="0" dataOnly="0" labelOnly="1" grandRow="1" outline="0" axis="axisRow" fieldPosition="0">
        <references count="1">
          <reference field="4294967294" count="1" selected="0">
            <x v="31"/>
          </reference>
        </references>
      </pivotArea>
    </format>
    <format dxfId="763">
      <pivotArea field="0" dataOnly="0" labelOnly="1" grandRow="1" outline="0" axis="axisRow" fieldPosition="0">
        <references count="1">
          <reference field="4294967294" count="1" selected="0">
            <x v="32"/>
          </reference>
        </references>
      </pivotArea>
    </format>
    <format dxfId="762">
      <pivotArea field="0" dataOnly="0" labelOnly="1" grandRow="1" outline="0" axis="axisRow" fieldPosition="0">
        <references count="1">
          <reference field="4294967294" count="1" selected="0">
            <x v="33"/>
          </reference>
        </references>
      </pivotArea>
    </format>
    <format dxfId="761">
      <pivotArea field="0" dataOnly="0" labelOnly="1" grandRow="1" outline="0" axis="axisRow" fieldPosition="0">
        <references count="1">
          <reference field="4294967294" count="1" selected="0">
            <x v="34"/>
          </reference>
        </references>
      </pivotArea>
    </format>
    <format dxfId="760">
      <pivotArea field="0" dataOnly="0" labelOnly="1" grandRow="1" outline="0" axis="axisRow" fieldPosition="0">
        <references count="1">
          <reference field="4294967294" count="1" selected="0">
            <x v="35"/>
          </reference>
        </references>
      </pivotArea>
    </format>
    <format dxfId="759">
      <pivotArea field="0" dataOnly="0" labelOnly="1" grandRow="1" outline="0" axis="axisRow" fieldPosition="0">
        <references count="1">
          <reference field="4294967294" count="1" selected="0">
            <x v="0"/>
          </reference>
        </references>
      </pivotArea>
    </format>
    <format dxfId="758">
      <pivotArea field="0" dataOnly="0" labelOnly="1" grandRow="1" outline="0" axis="axisRow" fieldPosition="0">
        <references count="1">
          <reference field="4294967294" count="1" selected="0">
            <x v="1"/>
          </reference>
        </references>
      </pivotArea>
    </format>
    <format dxfId="757">
      <pivotArea field="0" dataOnly="0" labelOnly="1" grandRow="1" outline="0" axis="axisRow" fieldPosition="0">
        <references count="1">
          <reference field="4294967294" count="1" selected="0">
            <x v="2"/>
          </reference>
        </references>
      </pivotArea>
    </format>
    <format dxfId="756">
      <pivotArea field="0" dataOnly="0" labelOnly="1" grandRow="1" outline="0" axis="axisRow" fieldPosition="0">
        <references count="1">
          <reference field="4294967294" count="1" selected="0">
            <x v="3"/>
          </reference>
        </references>
      </pivotArea>
    </format>
    <format dxfId="755">
      <pivotArea field="0" dataOnly="0" labelOnly="1" grandRow="1" outline="0" axis="axisRow" fieldPosition="0">
        <references count="1">
          <reference field="4294967294" count="1" selected="0">
            <x v="4"/>
          </reference>
        </references>
      </pivotArea>
    </format>
    <format dxfId="754">
      <pivotArea field="0" dataOnly="0" labelOnly="1" grandRow="1" outline="0" axis="axisRow" fieldPosition="0">
        <references count="1">
          <reference field="4294967294" count="1" selected="0">
            <x v="5"/>
          </reference>
        </references>
      </pivotArea>
    </format>
    <format dxfId="753">
      <pivotArea field="0" dataOnly="0" labelOnly="1" grandRow="1" outline="0" axis="axisRow" fieldPosition="0">
        <references count="1">
          <reference field="4294967294" count="1" selected="0">
            <x v="6"/>
          </reference>
        </references>
      </pivotArea>
    </format>
    <format dxfId="752">
      <pivotArea field="0" dataOnly="0" labelOnly="1" grandRow="1" outline="0" axis="axisRow" fieldPosition="0">
        <references count="1">
          <reference field="4294967294" count="1" selected="0">
            <x v="7"/>
          </reference>
        </references>
      </pivotArea>
    </format>
    <format dxfId="751">
      <pivotArea field="0" dataOnly="0" labelOnly="1" grandRow="1" outline="0" axis="axisRow" fieldPosition="0">
        <references count="1">
          <reference field="4294967294" count="1" selected="0">
            <x v="8"/>
          </reference>
        </references>
      </pivotArea>
    </format>
    <format dxfId="750">
      <pivotArea field="0" dataOnly="0" labelOnly="1" grandRow="1" outline="0" axis="axisRow" fieldPosition="0">
        <references count="1">
          <reference field="4294967294" count="1" selected="0">
            <x v="9"/>
          </reference>
        </references>
      </pivotArea>
    </format>
    <format dxfId="749">
      <pivotArea field="0" dataOnly="0" labelOnly="1" grandRow="1" outline="0" axis="axisRow" fieldPosition="0">
        <references count="1">
          <reference field="4294967294" count="1" selected="0">
            <x v="10"/>
          </reference>
        </references>
      </pivotArea>
    </format>
    <format dxfId="748">
      <pivotArea field="0" dataOnly="0" labelOnly="1" grandRow="1" outline="0" axis="axisRow" fieldPosition="0">
        <references count="1">
          <reference field="4294967294" count="1" selected="0">
            <x v="11"/>
          </reference>
        </references>
      </pivotArea>
    </format>
    <format dxfId="747">
      <pivotArea field="0" dataOnly="0" labelOnly="1" grandRow="1" outline="0" axis="axisRow" fieldPosition="0">
        <references count="1">
          <reference field="4294967294" count="1" selected="0">
            <x v="12"/>
          </reference>
        </references>
      </pivotArea>
    </format>
    <format dxfId="746">
      <pivotArea field="0" dataOnly="0" labelOnly="1" grandRow="1" outline="0" axis="axisRow" fieldPosition="0">
        <references count="1">
          <reference field="4294967294" count="1" selected="0">
            <x v="13"/>
          </reference>
        </references>
      </pivotArea>
    </format>
    <format dxfId="745">
      <pivotArea field="0" dataOnly="0" labelOnly="1" grandRow="1" outline="0" axis="axisRow" fieldPosition="0">
        <references count="1">
          <reference field="4294967294" count="1" selected="0">
            <x v="14"/>
          </reference>
        </references>
      </pivotArea>
    </format>
    <format dxfId="744">
      <pivotArea field="0" dataOnly="0" labelOnly="1" grandRow="1" outline="0" axis="axisRow" fieldPosition="0">
        <references count="1">
          <reference field="4294967294" count="1" selected="0">
            <x v="15"/>
          </reference>
        </references>
      </pivotArea>
    </format>
    <format dxfId="743">
      <pivotArea field="0" dataOnly="0" labelOnly="1" grandRow="1" outline="0" axis="axisRow" fieldPosition="0">
        <references count="1">
          <reference field="4294967294" count="1" selected="0">
            <x v="16"/>
          </reference>
        </references>
      </pivotArea>
    </format>
    <format dxfId="742">
      <pivotArea field="0" dataOnly="0" labelOnly="1" grandRow="1" outline="0" axis="axisRow" fieldPosition="0">
        <references count="1">
          <reference field="4294967294" count="1" selected="0">
            <x v="17"/>
          </reference>
        </references>
      </pivotArea>
    </format>
    <format dxfId="741">
      <pivotArea field="0" dataOnly="0" labelOnly="1" grandRow="1" outline="0" axis="axisRow" fieldPosition="0">
        <references count="1">
          <reference field="4294967294" count="1" selected="0">
            <x v="18"/>
          </reference>
        </references>
      </pivotArea>
    </format>
    <format dxfId="740">
      <pivotArea field="0" dataOnly="0" labelOnly="1" grandRow="1" outline="0" axis="axisRow" fieldPosition="0">
        <references count="1">
          <reference field="4294967294" count="1" selected="0">
            <x v="19"/>
          </reference>
        </references>
      </pivotArea>
    </format>
    <format dxfId="739">
      <pivotArea field="0" dataOnly="0" labelOnly="1" grandRow="1" outline="0" axis="axisRow" fieldPosition="0">
        <references count="1">
          <reference field="4294967294" count="1" selected="0">
            <x v="20"/>
          </reference>
        </references>
      </pivotArea>
    </format>
    <format dxfId="738">
      <pivotArea field="0" dataOnly="0" labelOnly="1" grandRow="1" outline="0" axis="axisRow" fieldPosition="0">
        <references count="1">
          <reference field="4294967294" count="1" selected="0">
            <x v="21"/>
          </reference>
        </references>
      </pivotArea>
    </format>
    <format dxfId="737">
      <pivotArea field="0" dataOnly="0" labelOnly="1" grandRow="1" outline="0" axis="axisRow" fieldPosition="0">
        <references count="1">
          <reference field="4294967294" count="1" selected="0">
            <x v="22"/>
          </reference>
        </references>
      </pivotArea>
    </format>
    <format dxfId="736">
      <pivotArea field="0" dataOnly="0" labelOnly="1" grandRow="1" outline="0" axis="axisRow" fieldPosition="0">
        <references count="1">
          <reference field="4294967294" count="1" selected="0">
            <x v="23"/>
          </reference>
        </references>
      </pivotArea>
    </format>
    <format dxfId="735">
      <pivotArea field="0" dataOnly="0" labelOnly="1" grandRow="1" outline="0" axis="axisRow" fieldPosition="0">
        <references count="1">
          <reference field="4294967294" count="1" selected="0">
            <x v="24"/>
          </reference>
        </references>
      </pivotArea>
    </format>
    <format dxfId="734">
      <pivotArea field="0" dataOnly="0" labelOnly="1" grandRow="1" outline="0" axis="axisRow" fieldPosition="0">
        <references count="1">
          <reference field="4294967294" count="1" selected="0">
            <x v="25"/>
          </reference>
        </references>
      </pivotArea>
    </format>
    <format dxfId="733">
      <pivotArea field="0" dataOnly="0" labelOnly="1" grandRow="1" outline="0" axis="axisRow" fieldPosition="0">
        <references count="1">
          <reference field="4294967294" count="1" selected="0">
            <x v="26"/>
          </reference>
        </references>
      </pivotArea>
    </format>
    <format dxfId="732">
      <pivotArea field="0" dataOnly="0" labelOnly="1" grandRow="1" outline="0" axis="axisRow" fieldPosition="0">
        <references count="1">
          <reference field="4294967294" count="1" selected="0">
            <x v="27"/>
          </reference>
        </references>
      </pivotArea>
    </format>
    <format dxfId="731">
      <pivotArea field="0" dataOnly="0" labelOnly="1" grandRow="1" outline="0" axis="axisRow" fieldPosition="0">
        <references count="1">
          <reference field="4294967294" count="1" selected="0">
            <x v="28"/>
          </reference>
        </references>
      </pivotArea>
    </format>
    <format dxfId="730">
      <pivotArea field="0" dataOnly="0" labelOnly="1" grandRow="1" outline="0" axis="axisRow" fieldPosition="0">
        <references count="1">
          <reference field="4294967294" count="1" selected="0">
            <x v="29"/>
          </reference>
        </references>
      </pivotArea>
    </format>
    <format dxfId="729">
      <pivotArea field="0" dataOnly="0" labelOnly="1" grandRow="1" outline="0" axis="axisRow" fieldPosition="0">
        <references count="1">
          <reference field="4294967294" count="1" selected="0">
            <x v="30"/>
          </reference>
        </references>
      </pivotArea>
    </format>
    <format dxfId="728">
      <pivotArea field="0" dataOnly="0" labelOnly="1" grandRow="1" outline="0" axis="axisRow" fieldPosition="0">
        <references count="1">
          <reference field="4294967294" count="1" selected="0">
            <x v="31"/>
          </reference>
        </references>
      </pivotArea>
    </format>
    <format dxfId="727">
      <pivotArea field="0" dataOnly="0" labelOnly="1" grandRow="1" outline="0" axis="axisRow" fieldPosition="0">
        <references count="1">
          <reference field="4294967294" count="1" selected="0">
            <x v="32"/>
          </reference>
        </references>
      </pivotArea>
    </format>
    <format dxfId="726">
      <pivotArea field="0" dataOnly="0" labelOnly="1" grandRow="1" outline="0" axis="axisRow" fieldPosition="0">
        <references count="1">
          <reference field="4294967294" count="1" selected="0">
            <x v="33"/>
          </reference>
        </references>
      </pivotArea>
    </format>
    <format dxfId="725">
      <pivotArea field="0" dataOnly="0" labelOnly="1" grandRow="1" outline="0" axis="axisRow" fieldPosition="0">
        <references count="1">
          <reference field="4294967294" count="1" selected="0">
            <x v="34"/>
          </reference>
        </references>
      </pivotArea>
    </format>
    <format dxfId="724">
      <pivotArea field="0" dataOnly="0" labelOnly="1" grandRow="1" outline="0" axis="axisRow" fieldPosition="0">
        <references count="1">
          <reference field="4294967294" count="1" selected="0">
            <x v="35"/>
          </reference>
        </references>
      </pivotArea>
    </format>
    <format dxfId="723">
      <pivotArea field="0" dataOnly="0" labelOnly="1" grandRow="1" outline="0" axis="axisRow" fieldPosition="0">
        <references count="1">
          <reference field="4294967294" count="1" selected="0">
            <x v="0"/>
          </reference>
        </references>
      </pivotArea>
    </format>
    <format dxfId="722">
      <pivotArea field="0" dataOnly="0" labelOnly="1" grandRow="1" outline="0" axis="axisRow" fieldPosition="0">
        <references count="1">
          <reference field="4294967294" count="1" selected="0">
            <x v="1"/>
          </reference>
        </references>
      </pivotArea>
    </format>
    <format dxfId="721">
      <pivotArea field="0" dataOnly="0" labelOnly="1" grandRow="1" outline="0" axis="axisRow" fieldPosition="0">
        <references count="1">
          <reference field="4294967294" count="1" selected="0">
            <x v="2"/>
          </reference>
        </references>
      </pivotArea>
    </format>
    <format dxfId="720">
      <pivotArea field="0" dataOnly="0" labelOnly="1" grandRow="1" outline="0" axis="axisRow" fieldPosition="0">
        <references count="1">
          <reference field="4294967294" count="1" selected="0">
            <x v="3"/>
          </reference>
        </references>
      </pivotArea>
    </format>
    <format dxfId="719">
      <pivotArea field="0" dataOnly="0" labelOnly="1" grandRow="1" outline="0" axis="axisRow" fieldPosition="0">
        <references count="1">
          <reference field="4294967294" count="1" selected="0">
            <x v="4"/>
          </reference>
        </references>
      </pivotArea>
    </format>
    <format dxfId="718">
      <pivotArea field="0" dataOnly="0" labelOnly="1" grandRow="1" outline="0" axis="axisRow" fieldPosition="0">
        <references count="1">
          <reference field="4294967294" count="1" selected="0">
            <x v="5"/>
          </reference>
        </references>
      </pivotArea>
    </format>
    <format dxfId="717">
      <pivotArea field="0" dataOnly="0" labelOnly="1" grandRow="1" outline="0" axis="axisRow" fieldPosition="0">
        <references count="1">
          <reference field="4294967294" count="1" selected="0">
            <x v="6"/>
          </reference>
        </references>
      </pivotArea>
    </format>
    <format dxfId="716">
      <pivotArea field="0" dataOnly="0" labelOnly="1" grandRow="1" outline="0" axis="axisRow" fieldPosition="0">
        <references count="1">
          <reference field="4294967294" count="1" selected="0">
            <x v="7"/>
          </reference>
        </references>
      </pivotArea>
    </format>
    <format dxfId="715">
      <pivotArea field="0" dataOnly="0" labelOnly="1" grandRow="1" outline="0" axis="axisRow" fieldPosition="0">
        <references count="1">
          <reference field="4294967294" count="1" selected="0">
            <x v="8"/>
          </reference>
        </references>
      </pivotArea>
    </format>
    <format dxfId="714">
      <pivotArea field="0" dataOnly="0" labelOnly="1" grandRow="1" outline="0" axis="axisRow" fieldPosition="0">
        <references count="1">
          <reference field="4294967294" count="1" selected="0">
            <x v="9"/>
          </reference>
        </references>
      </pivotArea>
    </format>
    <format dxfId="713">
      <pivotArea field="0" dataOnly="0" labelOnly="1" grandRow="1" outline="0" axis="axisRow" fieldPosition="0">
        <references count="1">
          <reference field="4294967294" count="1" selected="0">
            <x v="10"/>
          </reference>
        </references>
      </pivotArea>
    </format>
    <format dxfId="712">
      <pivotArea field="0" dataOnly="0" labelOnly="1" grandRow="1" outline="0" axis="axisRow" fieldPosition="0">
        <references count="1">
          <reference field="4294967294" count="1" selected="0">
            <x v="11"/>
          </reference>
        </references>
      </pivotArea>
    </format>
    <format dxfId="711">
      <pivotArea field="0" dataOnly="0" labelOnly="1" grandRow="1" outline="0" axis="axisRow" fieldPosition="0">
        <references count="1">
          <reference field="4294967294" count="1" selected="0">
            <x v="12"/>
          </reference>
        </references>
      </pivotArea>
    </format>
    <format dxfId="710">
      <pivotArea field="0" dataOnly="0" labelOnly="1" grandRow="1" outline="0" axis="axisRow" fieldPosition="0">
        <references count="1">
          <reference field="4294967294" count="1" selected="0">
            <x v="13"/>
          </reference>
        </references>
      </pivotArea>
    </format>
    <format dxfId="709">
      <pivotArea field="0" dataOnly="0" labelOnly="1" grandRow="1" outline="0" axis="axisRow" fieldPosition="0">
        <references count="1">
          <reference field="4294967294" count="1" selected="0">
            <x v="14"/>
          </reference>
        </references>
      </pivotArea>
    </format>
    <format dxfId="708">
      <pivotArea field="0" dataOnly="0" labelOnly="1" grandRow="1" outline="0" axis="axisRow" fieldPosition="0">
        <references count="1">
          <reference field="4294967294" count="1" selected="0">
            <x v="15"/>
          </reference>
        </references>
      </pivotArea>
    </format>
    <format dxfId="707">
      <pivotArea field="0" dataOnly="0" labelOnly="1" grandRow="1" outline="0" axis="axisRow" fieldPosition="0">
        <references count="1">
          <reference field="4294967294" count="1" selected="0">
            <x v="16"/>
          </reference>
        </references>
      </pivotArea>
    </format>
    <format dxfId="706">
      <pivotArea field="0" dataOnly="0" labelOnly="1" grandRow="1" outline="0" axis="axisRow" fieldPosition="0">
        <references count="1">
          <reference field="4294967294" count="1" selected="0">
            <x v="17"/>
          </reference>
        </references>
      </pivotArea>
    </format>
    <format dxfId="705">
      <pivotArea field="0" dataOnly="0" labelOnly="1" grandRow="1" outline="0" axis="axisRow" fieldPosition="0">
        <references count="1">
          <reference field="4294967294" count="1" selected="0">
            <x v="18"/>
          </reference>
        </references>
      </pivotArea>
    </format>
    <format dxfId="704">
      <pivotArea field="0" dataOnly="0" labelOnly="1" grandRow="1" outline="0" axis="axisRow" fieldPosition="0">
        <references count="1">
          <reference field="4294967294" count="1" selected="0">
            <x v="19"/>
          </reference>
        </references>
      </pivotArea>
    </format>
    <format dxfId="703">
      <pivotArea field="0" dataOnly="0" labelOnly="1" grandRow="1" outline="0" axis="axisRow" fieldPosition="0">
        <references count="1">
          <reference field="4294967294" count="1" selected="0">
            <x v="20"/>
          </reference>
        </references>
      </pivotArea>
    </format>
    <format dxfId="702">
      <pivotArea field="0" dataOnly="0" labelOnly="1" grandRow="1" outline="0" axis="axisRow" fieldPosition="0">
        <references count="1">
          <reference field="4294967294" count="1" selected="0">
            <x v="21"/>
          </reference>
        </references>
      </pivotArea>
    </format>
    <format dxfId="701">
      <pivotArea field="0" dataOnly="0" labelOnly="1" grandRow="1" outline="0" axis="axisRow" fieldPosition="0">
        <references count="1">
          <reference field="4294967294" count="1" selected="0">
            <x v="22"/>
          </reference>
        </references>
      </pivotArea>
    </format>
    <format dxfId="700">
      <pivotArea field="0" dataOnly="0" labelOnly="1" grandRow="1" outline="0" axis="axisRow" fieldPosition="0">
        <references count="1">
          <reference field="4294967294" count="1" selected="0">
            <x v="23"/>
          </reference>
        </references>
      </pivotArea>
    </format>
    <format dxfId="699">
      <pivotArea field="0" dataOnly="0" labelOnly="1" grandRow="1" outline="0" axis="axisRow" fieldPosition="0">
        <references count="1">
          <reference field="4294967294" count="1" selected="0">
            <x v="24"/>
          </reference>
        </references>
      </pivotArea>
    </format>
    <format dxfId="698">
      <pivotArea field="0" dataOnly="0" labelOnly="1" grandRow="1" outline="0" axis="axisRow" fieldPosition="0">
        <references count="1">
          <reference field="4294967294" count="1" selected="0">
            <x v="25"/>
          </reference>
        </references>
      </pivotArea>
    </format>
    <format dxfId="697">
      <pivotArea field="0" dataOnly="0" labelOnly="1" grandRow="1" outline="0" axis="axisRow" fieldPosition="0">
        <references count="1">
          <reference field="4294967294" count="1" selected="0">
            <x v="26"/>
          </reference>
        </references>
      </pivotArea>
    </format>
    <format dxfId="696">
      <pivotArea field="0" dataOnly="0" labelOnly="1" grandRow="1" outline="0" axis="axisRow" fieldPosition="0">
        <references count="1">
          <reference field="4294967294" count="1" selected="0">
            <x v="27"/>
          </reference>
        </references>
      </pivotArea>
    </format>
    <format dxfId="695">
      <pivotArea field="0" dataOnly="0" labelOnly="1" grandRow="1" outline="0" axis="axisRow" fieldPosition="0">
        <references count="1">
          <reference field="4294967294" count="1" selected="0">
            <x v="28"/>
          </reference>
        </references>
      </pivotArea>
    </format>
    <format dxfId="694">
      <pivotArea field="0" dataOnly="0" labelOnly="1" grandRow="1" outline="0" axis="axisRow" fieldPosition="0">
        <references count="1">
          <reference field="4294967294" count="1" selected="0">
            <x v="29"/>
          </reference>
        </references>
      </pivotArea>
    </format>
    <format dxfId="693">
      <pivotArea field="0" dataOnly="0" labelOnly="1" grandRow="1" outline="0" axis="axisRow" fieldPosition="0">
        <references count="1">
          <reference field="4294967294" count="1" selected="0">
            <x v="30"/>
          </reference>
        </references>
      </pivotArea>
    </format>
    <format dxfId="692">
      <pivotArea field="0" dataOnly="0" labelOnly="1" grandRow="1" outline="0" axis="axisRow" fieldPosition="0">
        <references count="1">
          <reference field="4294967294" count="1" selected="0">
            <x v="31"/>
          </reference>
        </references>
      </pivotArea>
    </format>
    <format dxfId="691">
      <pivotArea field="0" dataOnly="0" labelOnly="1" grandRow="1" outline="0" axis="axisRow" fieldPosition="0">
        <references count="1">
          <reference field="4294967294" count="1" selected="0">
            <x v="32"/>
          </reference>
        </references>
      </pivotArea>
    </format>
    <format dxfId="690">
      <pivotArea field="0" dataOnly="0" labelOnly="1" grandRow="1" outline="0" axis="axisRow" fieldPosition="0">
        <references count="1">
          <reference field="4294967294" count="1" selected="0">
            <x v="33"/>
          </reference>
        </references>
      </pivotArea>
    </format>
    <format dxfId="689">
      <pivotArea field="0" dataOnly="0" labelOnly="1" grandRow="1" outline="0" axis="axisRow" fieldPosition="0">
        <references count="1">
          <reference field="4294967294" count="1" selected="0">
            <x v="34"/>
          </reference>
        </references>
      </pivotArea>
    </format>
    <format dxfId="688">
      <pivotArea field="0" dataOnly="0" labelOnly="1" grandRow="1" outline="0" axis="axisRow" fieldPosition="0">
        <references count="1">
          <reference field="4294967294" count="1" selected="0">
            <x v="35"/>
          </reference>
        </references>
      </pivotArea>
    </format>
    <format dxfId="687">
      <pivotArea field="0" dataOnly="0" labelOnly="1" grandRow="1" outline="0" axis="axisRow" fieldPosition="0">
        <references count="1">
          <reference field="4294967294" count="1" selected="0">
            <x v="0"/>
          </reference>
        </references>
      </pivotArea>
    </format>
    <format dxfId="686">
      <pivotArea field="0" dataOnly="0" labelOnly="1" grandRow="1" outline="0" axis="axisRow" fieldPosition="0">
        <references count="1">
          <reference field="4294967294" count="1" selected="0">
            <x v="1"/>
          </reference>
        </references>
      </pivotArea>
    </format>
    <format dxfId="685">
      <pivotArea field="0" dataOnly="0" labelOnly="1" grandRow="1" outline="0" axis="axisRow" fieldPosition="0">
        <references count="1">
          <reference field="4294967294" count="1" selected="0">
            <x v="2"/>
          </reference>
        </references>
      </pivotArea>
    </format>
    <format dxfId="684">
      <pivotArea field="0" dataOnly="0" labelOnly="1" grandRow="1" outline="0" axis="axisRow" fieldPosition="0">
        <references count="1">
          <reference field="4294967294" count="1" selected="0">
            <x v="3"/>
          </reference>
        </references>
      </pivotArea>
    </format>
    <format dxfId="683">
      <pivotArea field="0" dataOnly="0" labelOnly="1" grandRow="1" outline="0" axis="axisRow" fieldPosition="0">
        <references count="1">
          <reference field="4294967294" count="1" selected="0">
            <x v="4"/>
          </reference>
        </references>
      </pivotArea>
    </format>
    <format dxfId="682">
      <pivotArea field="0" dataOnly="0" labelOnly="1" grandRow="1" outline="0" axis="axisRow" fieldPosition="0">
        <references count="1">
          <reference field="4294967294" count="1" selected="0">
            <x v="5"/>
          </reference>
        </references>
      </pivotArea>
    </format>
    <format dxfId="681">
      <pivotArea field="0" dataOnly="0" labelOnly="1" grandRow="1" outline="0" axis="axisRow" fieldPosition="0">
        <references count="1">
          <reference field="4294967294" count="1" selected="0">
            <x v="6"/>
          </reference>
        </references>
      </pivotArea>
    </format>
    <format dxfId="680">
      <pivotArea field="0" dataOnly="0" labelOnly="1" grandRow="1" outline="0" axis="axisRow" fieldPosition="0">
        <references count="1">
          <reference field="4294967294" count="1" selected="0">
            <x v="7"/>
          </reference>
        </references>
      </pivotArea>
    </format>
    <format dxfId="679">
      <pivotArea field="0" dataOnly="0" labelOnly="1" grandRow="1" outline="0" axis="axisRow" fieldPosition="0">
        <references count="1">
          <reference field="4294967294" count="1" selected="0">
            <x v="8"/>
          </reference>
        </references>
      </pivotArea>
    </format>
    <format dxfId="678">
      <pivotArea field="0" dataOnly="0" labelOnly="1" grandRow="1" outline="0" axis="axisRow" fieldPosition="0">
        <references count="1">
          <reference field="4294967294" count="1" selected="0">
            <x v="9"/>
          </reference>
        </references>
      </pivotArea>
    </format>
    <format dxfId="677">
      <pivotArea field="0" dataOnly="0" labelOnly="1" grandRow="1" outline="0" axis="axisRow" fieldPosition="0">
        <references count="1">
          <reference field="4294967294" count="1" selected="0">
            <x v="10"/>
          </reference>
        </references>
      </pivotArea>
    </format>
    <format dxfId="676">
      <pivotArea field="0" dataOnly="0" labelOnly="1" grandRow="1" outline="0" axis="axisRow" fieldPosition="0">
        <references count="1">
          <reference field="4294967294" count="1" selected="0">
            <x v="11"/>
          </reference>
        </references>
      </pivotArea>
    </format>
    <format dxfId="675">
      <pivotArea field="0" dataOnly="0" labelOnly="1" grandRow="1" outline="0" axis="axisRow" fieldPosition="0">
        <references count="1">
          <reference field="4294967294" count="1" selected="0">
            <x v="12"/>
          </reference>
        </references>
      </pivotArea>
    </format>
    <format dxfId="674">
      <pivotArea field="0" dataOnly="0" labelOnly="1" grandRow="1" outline="0" axis="axisRow" fieldPosition="0">
        <references count="1">
          <reference field="4294967294" count="1" selected="0">
            <x v="13"/>
          </reference>
        </references>
      </pivotArea>
    </format>
    <format dxfId="673">
      <pivotArea field="0" dataOnly="0" labelOnly="1" grandRow="1" outline="0" axis="axisRow" fieldPosition="0">
        <references count="1">
          <reference field="4294967294" count="1" selected="0">
            <x v="14"/>
          </reference>
        </references>
      </pivotArea>
    </format>
    <format dxfId="672">
      <pivotArea field="0" dataOnly="0" labelOnly="1" grandRow="1" outline="0" axis="axisRow" fieldPosition="0">
        <references count="1">
          <reference field="4294967294" count="1" selected="0">
            <x v="15"/>
          </reference>
        </references>
      </pivotArea>
    </format>
    <format dxfId="671">
      <pivotArea field="0" dataOnly="0" labelOnly="1" grandRow="1" outline="0" axis="axisRow" fieldPosition="0">
        <references count="1">
          <reference field="4294967294" count="1" selected="0">
            <x v="16"/>
          </reference>
        </references>
      </pivotArea>
    </format>
    <format dxfId="670">
      <pivotArea field="0" dataOnly="0" labelOnly="1" grandRow="1" outline="0" axis="axisRow" fieldPosition="0">
        <references count="1">
          <reference field="4294967294" count="1" selected="0">
            <x v="17"/>
          </reference>
        </references>
      </pivotArea>
    </format>
    <format dxfId="669">
      <pivotArea field="0" dataOnly="0" labelOnly="1" grandRow="1" outline="0" axis="axisRow" fieldPosition="0">
        <references count="1">
          <reference field="4294967294" count="1" selected="0">
            <x v="18"/>
          </reference>
        </references>
      </pivotArea>
    </format>
    <format dxfId="668">
      <pivotArea field="0" dataOnly="0" labelOnly="1" grandRow="1" outline="0" axis="axisRow" fieldPosition="0">
        <references count="1">
          <reference field="4294967294" count="1" selected="0">
            <x v="19"/>
          </reference>
        </references>
      </pivotArea>
    </format>
    <format dxfId="667">
      <pivotArea field="0" dataOnly="0" labelOnly="1" grandRow="1" outline="0" axis="axisRow" fieldPosition="0">
        <references count="1">
          <reference field="4294967294" count="1" selected="0">
            <x v="20"/>
          </reference>
        </references>
      </pivotArea>
    </format>
    <format dxfId="666">
      <pivotArea field="0" dataOnly="0" labelOnly="1" grandRow="1" outline="0" axis="axisRow" fieldPosition="0">
        <references count="1">
          <reference field="4294967294" count="1" selected="0">
            <x v="21"/>
          </reference>
        </references>
      </pivotArea>
    </format>
    <format dxfId="665">
      <pivotArea field="0" dataOnly="0" labelOnly="1" grandRow="1" outline="0" axis="axisRow" fieldPosition="0">
        <references count="1">
          <reference field="4294967294" count="1" selected="0">
            <x v="22"/>
          </reference>
        </references>
      </pivotArea>
    </format>
    <format dxfId="664">
      <pivotArea field="0" dataOnly="0" labelOnly="1" grandRow="1" outline="0" axis="axisRow" fieldPosition="0">
        <references count="1">
          <reference field="4294967294" count="1" selected="0">
            <x v="23"/>
          </reference>
        </references>
      </pivotArea>
    </format>
    <format dxfId="663">
      <pivotArea field="0" dataOnly="0" labelOnly="1" grandRow="1" outline="0" axis="axisRow" fieldPosition="0">
        <references count="1">
          <reference field="4294967294" count="1" selected="0">
            <x v="24"/>
          </reference>
        </references>
      </pivotArea>
    </format>
    <format dxfId="662">
      <pivotArea field="0" dataOnly="0" labelOnly="1" grandRow="1" outline="0" axis="axisRow" fieldPosition="0">
        <references count="1">
          <reference field="4294967294" count="1" selected="0">
            <x v="25"/>
          </reference>
        </references>
      </pivotArea>
    </format>
    <format dxfId="661">
      <pivotArea field="0" dataOnly="0" labelOnly="1" grandRow="1" outline="0" axis="axisRow" fieldPosition="0">
        <references count="1">
          <reference field="4294967294" count="1" selected="0">
            <x v="26"/>
          </reference>
        </references>
      </pivotArea>
    </format>
    <format dxfId="660">
      <pivotArea field="0" dataOnly="0" labelOnly="1" grandRow="1" outline="0" axis="axisRow" fieldPosition="0">
        <references count="1">
          <reference field="4294967294" count="1" selected="0">
            <x v="27"/>
          </reference>
        </references>
      </pivotArea>
    </format>
    <format dxfId="659">
      <pivotArea field="0" dataOnly="0" labelOnly="1" grandRow="1" outline="0" axis="axisRow" fieldPosition="0">
        <references count="1">
          <reference field="4294967294" count="1" selected="0">
            <x v="28"/>
          </reference>
        </references>
      </pivotArea>
    </format>
    <format dxfId="658">
      <pivotArea field="0" dataOnly="0" labelOnly="1" grandRow="1" outline="0" axis="axisRow" fieldPosition="0">
        <references count="1">
          <reference field="4294967294" count="1" selected="0">
            <x v="29"/>
          </reference>
        </references>
      </pivotArea>
    </format>
    <format dxfId="657">
      <pivotArea field="0" dataOnly="0" labelOnly="1" grandRow="1" outline="0" axis="axisRow" fieldPosition="0">
        <references count="1">
          <reference field="4294967294" count="1" selected="0">
            <x v="30"/>
          </reference>
        </references>
      </pivotArea>
    </format>
    <format dxfId="656">
      <pivotArea field="0" dataOnly="0" labelOnly="1" grandRow="1" outline="0" axis="axisRow" fieldPosition="0">
        <references count="1">
          <reference field="4294967294" count="1" selected="0">
            <x v="31"/>
          </reference>
        </references>
      </pivotArea>
    </format>
    <format dxfId="655">
      <pivotArea field="0" dataOnly="0" labelOnly="1" grandRow="1" outline="0" axis="axisRow" fieldPosition="0">
        <references count="1">
          <reference field="4294967294" count="1" selected="0">
            <x v="32"/>
          </reference>
        </references>
      </pivotArea>
    </format>
    <format dxfId="654">
      <pivotArea field="0" dataOnly="0" labelOnly="1" grandRow="1" outline="0" axis="axisRow" fieldPosition="0">
        <references count="1">
          <reference field="4294967294" count="1" selected="0">
            <x v="33"/>
          </reference>
        </references>
      </pivotArea>
    </format>
    <format dxfId="653">
      <pivotArea field="0" dataOnly="0" labelOnly="1" grandRow="1" outline="0" axis="axisRow" fieldPosition="0">
        <references count="1">
          <reference field="4294967294" count="1" selected="0">
            <x v="34"/>
          </reference>
        </references>
      </pivotArea>
    </format>
    <format dxfId="652">
      <pivotArea field="0" dataOnly="0" labelOnly="1" grandRow="1" outline="0" axis="axisRow" fieldPosition="0">
        <references count="1">
          <reference field="4294967294" count="1" selected="0">
            <x v="35"/>
          </reference>
        </references>
      </pivotArea>
    </format>
    <format dxfId="651">
      <pivotArea field="0" dataOnly="0" labelOnly="1" grandRow="1" outline="0" axis="axisRow" fieldPosition="0">
        <references count="1">
          <reference field="4294967294" count="1" selected="0">
            <x v="0"/>
          </reference>
        </references>
      </pivotArea>
    </format>
    <format dxfId="650">
      <pivotArea field="0" dataOnly="0" labelOnly="1" grandRow="1" outline="0" axis="axisRow" fieldPosition="0">
        <references count="1">
          <reference field="4294967294" count="1" selected="0">
            <x v="1"/>
          </reference>
        </references>
      </pivotArea>
    </format>
    <format dxfId="649">
      <pivotArea field="0" dataOnly="0" labelOnly="1" grandRow="1" outline="0" axis="axisRow" fieldPosition="0">
        <references count="1">
          <reference field="4294967294" count="1" selected="0">
            <x v="2"/>
          </reference>
        </references>
      </pivotArea>
    </format>
    <format dxfId="648">
      <pivotArea field="0" dataOnly="0" labelOnly="1" grandRow="1" outline="0" axis="axisRow" fieldPosition="0">
        <references count="1">
          <reference field="4294967294" count="1" selected="0">
            <x v="3"/>
          </reference>
        </references>
      </pivotArea>
    </format>
    <format dxfId="647">
      <pivotArea field="0" dataOnly="0" labelOnly="1" grandRow="1" outline="0" axis="axisRow" fieldPosition="0">
        <references count="1">
          <reference field="4294967294" count="1" selected="0">
            <x v="4"/>
          </reference>
        </references>
      </pivotArea>
    </format>
    <format dxfId="646">
      <pivotArea field="0" dataOnly="0" labelOnly="1" grandRow="1" outline="0" axis="axisRow" fieldPosition="0">
        <references count="1">
          <reference field="4294967294" count="1" selected="0">
            <x v="5"/>
          </reference>
        </references>
      </pivotArea>
    </format>
    <format dxfId="645">
      <pivotArea field="0" dataOnly="0" labelOnly="1" grandRow="1" outline="0" axis="axisRow" fieldPosition="0">
        <references count="1">
          <reference field="4294967294" count="1" selected="0">
            <x v="6"/>
          </reference>
        </references>
      </pivotArea>
    </format>
    <format dxfId="644">
      <pivotArea field="0" dataOnly="0" labelOnly="1" grandRow="1" outline="0" axis="axisRow" fieldPosition="0">
        <references count="1">
          <reference field="4294967294" count="1" selected="0">
            <x v="7"/>
          </reference>
        </references>
      </pivotArea>
    </format>
    <format dxfId="643">
      <pivotArea field="0" dataOnly="0" labelOnly="1" grandRow="1" outline="0" axis="axisRow" fieldPosition="0">
        <references count="1">
          <reference field="4294967294" count="1" selected="0">
            <x v="8"/>
          </reference>
        </references>
      </pivotArea>
    </format>
    <format dxfId="642">
      <pivotArea field="0" dataOnly="0" labelOnly="1" grandRow="1" outline="0" axis="axisRow" fieldPosition="0">
        <references count="1">
          <reference field="4294967294" count="1" selected="0">
            <x v="9"/>
          </reference>
        </references>
      </pivotArea>
    </format>
    <format dxfId="641">
      <pivotArea field="0" dataOnly="0" labelOnly="1" grandRow="1" outline="0" axis="axisRow" fieldPosition="0">
        <references count="1">
          <reference field="4294967294" count="1" selected="0">
            <x v="10"/>
          </reference>
        </references>
      </pivotArea>
    </format>
    <format dxfId="640">
      <pivotArea field="0" dataOnly="0" labelOnly="1" grandRow="1" outline="0" axis="axisRow" fieldPosition="0">
        <references count="1">
          <reference field="4294967294" count="1" selected="0">
            <x v="11"/>
          </reference>
        </references>
      </pivotArea>
    </format>
    <format dxfId="639">
      <pivotArea field="0" dataOnly="0" labelOnly="1" grandRow="1" outline="0" axis="axisRow" fieldPosition="0">
        <references count="1">
          <reference field="4294967294" count="1" selected="0">
            <x v="12"/>
          </reference>
        </references>
      </pivotArea>
    </format>
    <format dxfId="638">
      <pivotArea field="0" dataOnly="0" labelOnly="1" grandRow="1" outline="0" axis="axisRow" fieldPosition="0">
        <references count="1">
          <reference field="4294967294" count="1" selected="0">
            <x v="13"/>
          </reference>
        </references>
      </pivotArea>
    </format>
    <format dxfId="637">
      <pivotArea field="0" dataOnly="0" labelOnly="1" grandRow="1" outline="0" axis="axisRow" fieldPosition="0">
        <references count="1">
          <reference field="4294967294" count="1" selected="0">
            <x v="14"/>
          </reference>
        </references>
      </pivotArea>
    </format>
    <format dxfId="636">
      <pivotArea field="0" dataOnly="0" labelOnly="1" grandRow="1" outline="0" axis="axisRow" fieldPosition="0">
        <references count="1">
          <reference field="4294967294" count="1" selected="0">
            <x v="15"/>
          </reference>
        </references>
      </pivotArea>
    </format>
    <format dxfId="635">
      <pivotArea field="0" dataOnly="0" labelOnly="1" grandRow="1" outline="0" axis="axisRow" fieldPosition="0">
        <references count="1">
          <reference field="4294967294" count="1" selected="0">
            <x v="16"/>
          </reference>
        </references>
      </pivotArea>
    </format>
    <format dxfId="634">
      <pivotArea field="0" dataOnly="0" labelOnly="1" grandRow="1" outline="0" axis="axisRow" fieldPosition="0">
        <references count="1">
          <reference field="4294967294" count="1" selected="0">
            <x v="17"/>
          </reference>
        </references>
      </pivotArea>
    </format>
    <format dxfId="633">
      <pivotArea field="0" dataOnly="0" labelOnly="1" grandRow="1" outline="0" axis="axisRow" fieldPosition="0">
        <references count="1">
          <reference field="4294967294" count="1" selected="0">
            <x v="18"/>
          </reference>
        </references>
      </pivotArea>
    </format>
    <format dxfId="632">
      <pivotArea field="0" dataOnly="0" labelOnly="1" grandRow="1" outline="0" axis="axisRow" fieldPosition="0">
        <references count="1">
          <reference field="4294967294" count="1" selected="0">
            <x v="19"/>
          </reference>
        </references>
      </pivotArea>
    </format>
    <format dxfId="631">
      <pivotArea field="0" dataOnly="0" labelOnly="1" grandRow="1" outline="0" axis="axisRow" fieldPosition="0">
        <references count="1">
          <reference field="4294967294" count="1" selected="0">
            <x v="20"/>
          </reference>
        </references>
      </pivotArea>
    </format>
    <format dxfId="630">
      <pivotArea field="0" dataOnly="0" labelOnly="1" grandRow="1" outline="0" axis="axisRow" fieldPosition="0">
        <references count="1">
          <reference field="4294967294" count="1" selected="0">
            <x v="21"/>
          </reference>
        </references>
      </pivotArea>
    </format>
    <format dxfId="629">
      <pivotArea field="0" dataOnly="0" labelOnly="1" grandRow="1" outline="0" axis="axisRow" fieldPosition="0">
        <references count="1">
          <reference field="4294967294" count="1" selected="0">
            <x v="22"/>
          </reference>
        </references>
      </pivotArea>
    </format>
    <format dxfId="628">
      <pivotArea field="0" dataOnly="0" labelOnly="1" grandRow="1" outline="0" axis="axisRow" fieldPosition="0">
        <references count="1">
          <reference field="4294967294" count="1" selected="0">
            <x v="23"/>
          </reference>
        </references>
      </pivotArea>
    </format>
    <format dxfId="627">
      <pivotArea field="0" dataOnly="0" labelOnly="1" grandRow="1" outline="0" axis="axisRow" fieldPosition="0">
        <references count="1">
          <reference field="4294967294" count="1" selected="0">
            <x v="24"/>
          </reference>
        </references>
      </pivotArea>
    </format>
    <format dxfId="626">
      <pivotArea field="0" dataOnly="0" labelOnly="1" grandRow="1" outline="0" axis="axisRow" fieldPosition="0">
        <references count="1">
          <reference field="4294967294" count="1" selected="0">
            <x v="25"/>
          </reference>
        </references>
      </pivotArea>
    </format>
    <format dxfId="625">
      <pivotArea field="0" dataOnly="0" labelOnly="1" grandRow="1" outline="0" axis="axisRow" fieldPosition="0">
        <references count="1">
          <reference field="4294967294" count="1" selected="0">
            <x v="26"/>
          </reference>
        </references>
      </pivotArea>
    </format>
    <format dxfId="624">
      <pivotArea field="0" dataOnly="0" labelOnly="1" grandRow="1" outline="0" axis="axisRow" fieldPosition="0">
        <references count="1">
          <reference field="4294967294" count="1" selected="0">
            <x v="27"/>
          </reference>
        </references>
      </pivotArea>
    </format>
    <format dxfId="623">
      <pivotArea field="0" dataOnly="0" labelOnly="1" grandRow="1" outline="0" axis="axisRow" fieldPosition="0">
        <references count="1">
          <reference field="4294967294" count="1" selected="0">
            <x v="28"/>
          </reference>
        </references>
      </pivotArea>
    </format>
    <format dxfId="622">
      <pivotArea field="0" dataOnly="0" labelOnly="1" grandRow="1" outline="0" axis="axisRow" fieldPosition="0">
        <references count="1">
          <reference field="4294967294" count="1" selected="0">
            <x v="29"/>
          </reference>
        </references>
      </pivotArea>
    </format>
    <format dxfId="621">
      <pivotArea field="0" dataOnly="0" labelOnly="1" grandRow="1" outline="0" axis="axisRow" fieldPosition="0">
        <references count="1">
          <reference field="4294967294" count="1" selected="0">
            <x v="30"/>
          </reference>
        </references>
      </pivotArea>
    </format>
    <format dxfId="620">
      <pivotArea field="0" dataOnly="0" labelOnly="1" grandRow="1" outline="0" axis="axisRow" fieldPosition="0">
        <references count="1">
          <reference field="4294967294" count="1" selected="0">
            <x v="31"/>
          </reference>
        </references>
      </pivotArea>
    </format>
    <format dxfId="619">
      <pivotArea field="0" dataOnly="0" labelOnly="1" grandRow="1" outline="0" axis="axisRow" fieldPosition="0">
        <references count="1">
          <reference field="4294967294" count="1" selected="0">
            <x v="32"/>
          </reference>
        </references>
      </pivotArea>
    </format>
    <format dxfId="618">
      <pivotArea field="0" dataOnly="0" labelOnly="1" grandRow="1" outline="0" axis="axisRow" fieldPosition="0">
        <references count="1">
          <reference field="4294967294" count="1" selected="0">
            <x v="33"/>
          </reference>
        </references>
      </pivotArea>
    </format>
    <format dxfId="617">
      <pivotArea field="0" dataOnly="0" labelOnly="1" grandRow="1" outline="0" axis="axisRow" fieldPosition="0">
        <references count="1">
          <reference field="4294967294" count="1" selected="0">
            <x v="34"/>
          </reference>
        </references>
      </pivotArea>
    </format>
    <format dxfId="616">
      <pivotArea field="0" dataOnly="0" labelOnly="1" grandRow="1" outline="0" axis="axisRow" fieldPosition="0">
        <references count="1">
          <reference field="4294967294" count="1" selected="0">
            <x v="35"/>
          </reference>
        </references>
      </pivotArea>
    </format>
    <format dxfId="615">
      <pivotArea field="0" dataOnly="0" labelOnly="1" grandRow="1" outline="0" axis="axisRow" fieldPosition="0">
        <references count="1">
          <reference field="4294967294" count="1" selected="0">
            <x v="0"/>
          </reference>
        </references>
      </pivotArea>
    </format>
    <format dxfId="614">
      <pivotArea field="0" dataOnly="0" labelOnly="1" grandRow="1" outline="0" axis="axisRow" fieldPosition="0">
        <references count="1">
          <reference field="4294967294" count="1" selected="0">
            <x v="1"/>
          </reference>
        </references>
      </pivotArea>
    </format>
    <format dxfId="613">
      <pivotArea field="0" dataOnly="0" labelOnly="1" grandRow="1" outline="0" axis="axisRow" fieldPosition="0">
        <references count="1">
          <reference field="4294967294" count="1" selected="0">
            <x v="2"/>
          </reference>
        </references>
      </pivotArea>
    </format>
    <format dxfId="612">
      <pivotArea field="0" dataOnly="0" labelOnly="1" grandRow="1" outline="0" axis="axisRow" fieldPosition="0">
        <references count="1">
          <reference field="4294967294" count="1" selected="0">
            <x v="3"/>
          </reference>
        </references>
      </pivotArea>
    </format>
    <format dxfId="611">
      <pivotArea field="0" dataOnly="0" labelOnly="1" grandRow="1" outline="0" axis="axisRow" fieldPosition="0">
        <references count="1">
          <reference field="4294967294" count="1" selected="0">
            <x v="4"/>
          </reference>
        </references>
      </pivotArea>
    </format>
    <format dxfId="610">
      <pivotArea field="0" dataOnly="0" labelOnly="1" grandRow="1" outline="0" axis="axisRow" fieldPosition="0">
        <references count="1">
          <reference field="4294967294" count="1" selected="0">
            <x v="5"/>
          </reference>
        </references>
      </pivotArea>
    </format>
    <format dxfId="609">
      <pivotArea field="0" dataOnly="0" labelOnly="1" grandRow="1" outline="0" axis="axisRow" fieldPosition="0">
        <references count="1">
          <reference field="4294967294" count="1" selected="0">
            <x v="6"/>
          </reference>
        </references>
      </pivotArea>
    </format>
    <format dxfId="608">
      <pivotArea field="0" dataOnly="0" labelOnly="1" grandRow="1" outline="0" axis="axisRow" fieldPosition="0">
        <references count="1">
          <reference field="4294967294" count="1" selected="0">
            <x v="7"/>
          </reference>
        </references>
      </pivotArea>
    </format>
    <format dxfId="607">
      <pivotArea field="0" dataOnly="0" labelOnly="1" grandRow="1" outline="0" axis="axisRow" fieldPosition="0">
        <references count="1">
          <reference field="4294967294" count="1" selected="0">
            <x v="8"/>
          </reference>
        </references>
      </pivotArea>
    </format>
    <format dxfId="606">
      <pivotArea field="0" dataOnly="0" labelOnly="1" grandRow="1" outline="0" axis="axisRow" fieldPosition="0">
        <references count="1">
          <reference field="4294967294" count="1" selected="0">
            <x v="9"/>
          </reference>
        </references>
      </pivotArea>
    </format>
    <format dxfId="605">
      <pivotArea field="0" dataOnly="0" labelOnly="1" grandRow="1" outline="0" axis="axisRow" fieldPosition="0">
        <references count="1">
          <reference field="4294967294" count="1" selected="0">
            <x v="10"/>
          </reference>
        </references>
      </pivotArea>
    </format>
    <format dxfId="604">
      <pivotArea field="0" dataOnly="0" labelOnly="1" grandRow="1" outline="0" axis="axisRow" fieldPosition="0">
        <references count="1">
          <reference field="4294967294" count="1" selected="0">
            <x v="11"/>
          </reference>
        </references>
      </pivotArea>
    </format>
    <format dxfId="603">
      <pivotArea field="0" dataOnly="0" labelOnly="1" grandRow="1" outline="0" axis="axisRow" fieldPosition="0">
        <references count="1">
          <reference field="4294967294" count="1" selected="0">
            <x v="12"/>
          </reference>
        </references>
      </pivotArea>
    </format>
    <format dxfId="602">
      <pivotArea field="0" dataOnly="0" labelOnly="1" grandRow="1" outline="0" axis="axisRow" fieldPosition="0">
        <references count="1">
          <reference field="4294967294" count="1" selected="0">
            <x v="13"/>
          </reference>
        </references>
      </pivotArea>
    </format>
    <format dxfId="601">
      <pivotArea field="0" dataOnly="0" labelOnly="1" grandRow="1" outline="0" axis="axisRow" fieldPosition="0">
        <references count="1">
          <reference field="4294967294" count="1" selected="0">
            <x v="14"/>
          </reference>
        </references>
      </pivotArea>
    </format>
    <format dxfId="600">
      <pivotArea field="0" dataOnly="0" labelOnly="1" grandRow="1" outline="0" axis="axisRow" fieldPosition="0">
        <references count="1">
          <reference field="4294967294" count="1" selected="0">
            <x v="15"/>
          </reference>
        </references>
      </pivotArea>
    </format>
    <format dxfId="599">
      <pivotArea field="0" dataOnly="0" labelOnly="1" grandRow="1" outline="0" axis="axisRow" fieldPosition="0">
        <references count="1">
          <reference field="4294967294" count="1" selected="0">
            <x v="16"/>
          </reference>
        </references>
      </pivotArea>
    </format>
    <format dxfId="598">
      <pivotArea field="0" dataOnly="0" labelOnly="1" grandRow="1" outline="0" axis="axisRow" fieldPosition="0">
        <references count="1">
          <reference field="4294967294" count="1" selected="0">
            <x v="17"/>
          </reference>
        </references>
      </pivotArea>
    </format>
    <format dxfId="597">
      <pivotArea field="0" dataOnly="0" labelOnly="1" grandRow="1" outline="0" axis="axisRow" fieldPosition="0">
        <references count="1">
          <reference field="4294967294" count="1" selected="0">
            <x v="18"/>
          </reference>
        </references>
      </pivotArea>
    </format>
    <format dxfId="596">
      <pivotArea field="0" dataOnly="0" labelOnly="1" grandRow="1" outline="0" axis="axisRow" fieldPosition="0">
        <references count="1">
          <reference field="4294967294" count="1" selected="0">
            <x v="19"/>
          </reference>
        </references>
      </pivotArea>
    </format>
    <format dxfId="595">
      <pivotArea field="0" dataOnly="0" labelOnly="1" grandRow="1" outline="0" axis="axisRow" fieldPosition="0">
        <references count="1">
          <reference field="4294967294" count="1" selected="0">
            <x v="20"/>
          </reference>
        </references>
      </pivotArea>
    </format>
    <format dxfId="594">
      <pivotArea field="0" dataOnly="0" labelOnly="1" grandRow="1" outline="0" axis="axisRow" fieldPosition="0">
        <references count="1">
          <reference field="4294967294" count="1" selected="0">
            <x v="21"/>
          </reference>
        </references>
      </pivotArea>
    </format>
    <format dxfId="593">
      <pivotArea field="0" dataOnly="0" labelOnly="1" grandRow="1" outline="0" axis="axisRow" fieldPosition="0">
        <references count="1">
          <reference field="4294967294" count="1" selected="0">
            <x v="22"/>
          </reference>
        </references>
      </pivotArea>
    </format>
    <format dxfId="592">
      <pivotArea field="0" dataOnly="0" labelOnly="1" grandRow="1" outline="0" axis="axisRow" fieldPosition="0">
        <references count="1">
          <reference field="4294967294" count="1" selected="0">
            <x v="23"/>
          </reference>
        </references>
      </pivotArea>
    </format>
    <format dxfId="591">
      <pivotArea field="0" dataOnly="0" labelOnly="1" grandRow="1" outline="0" axis="axisRow" fieldPosition="0">
        <references count="1">
          <reference field="4294967294" count="1" selected="0">
            <x v="24"/>
          </reference>
        </references>
      </pivotArea>
    </format>
    <format dxfId="590">
      <pivotArea field="0" dataOnly="0" labelOnly="1" grandRow="1" outline="0" axis="axisRow" fieldPosition="0">
        <references count="1">
          <reference field="4294967294" count="1" selected="0">
            <x v="25"/>
          </reference>
        </references>
      </pivotArea>
    </format>
    <format dxfId="589">
      <pivotArea field="0" dataOnly="0" labelOnly="1" grandRow="1" outline="0" axis="axisRow" fieldPosition="0">
        <references count="1">
          <reference field="4294967294" count="1" selected="0">
            <x v="26"/>
          </reference>
        </references>
      </pivotArea>
    </format>
    <format dxfId="588">
      <pivotArea field="0" dataOnly="0" labelOnly="1" grandRow="1" outline="0" axis="axisRow" fieldPosition="0">
        <references count="1">
          <reference field="4294967294" count="1" selected="0">
            <x v="27"/>
          </reference>
        </references>
      </pivotArea>
    </format>
    <format dxfId="587">
      <pivotArea field="0" dataOnly="0" labelOnly="1" grandRow="1" outline="0" axis="axisRow" fieldPosition="0">
        <references count="1">
          <reference field="4294967294" count="1" selected="0">
            <x v="28"/>
          </reference>
        </references>
      </pivotArea>
    </format>
    <format dxfId="586">
      <pivotArea field="0" dataOnly="0" labelOnly="1" grandRow="1" outline="0" axis="axisRow" fieldPosition="0">
        <references count="1">
          <reference field="4294967294" count="1" selected="0">
            <x v="29"/>
          </reference>
        </references>
      </pivotArea>
    </format>
    <format dxfId="585">
      <pivotArea field="0" dataOnly="0" labelOnly="1" grandRow="1" outline="0" axis="axisRow" fieldPosition="0">
        <references count="1">
          <reference field="4294967294" count="1" selected="0">
            <x v="30"/>
          </reference>
        </references>
      </pivotArea>
    </format>
    <format dxfId="584">
      <pivotArea field="0" dataOnly="0" labelOnly="1" grandRow="1" outline="0" axis="axisRow" fieldPosition="0">
        <references count="1">
          <reference field="4294967294" count="1" selected="0">
            <x v="31"/>
          </reference>
        </references>
      </pivotArea>
    </format>
    <format dxfId="583">
      <pivotArea field="0" dataOnly="0" labelOnly="1" grandRow="1" outline="0" axis="axisRow" fieldPosition="0">
        <references count="1">
          <reference field="4294967294" count="1" selected="0">
            <x v="32"/>
          </reference>
        </references>
      </pivotArea>
    </format>
    <format dxfId="582">
      <pivotArea field="0" dataOnly="0" labelOnly="1" grandRow="1" outline="0" axis="axisRow" fieldPosition="0">
        <references count="1">
          <reference field="4294967294" count="1" selected="0">
            <x v="33"/>
          </reference>
        </references>
      </pivotArea>
    </format>
    <format dxfId="581">
      <pivotArea field="0" dataOnly="0" labelOnly="1" grandRow="1" outline="0" axis="axisRow" fieldPosition="0">
        <references count="1">
          <reference field="4294967294" count="1" selected="0">
            <x v="34"/>
          </reference>
        </references>
      </pivotArea>
    </format>
    <format dxfId="580">
      <pivotArea field="0" dataOnly="0" labelOnly="1" grandRow="1" outline="0" axis="axisRow" fieldPosition="0">
        <references count="1">
          <reference field="4294967294" count="1" selected="0">
            <x v="35"/>
          </reference>
        </references>
      </pivotArea>
    </format>
    <format dxfId="579">
      <pivotArea field="0" dataOnly="0" labelOnly="1" grandRow="1" outline="0" axis="axisRow" fieldPosition="0">
        <references count="1">
          <reference field="4294967294" count="1" selected="0">
            <x v="0"/>
          </reference>
        </references>
      </pivotArea>
    </format>
    <format dxfId="578">
      <pivotArea field="0" dataOnly="0" labelOnly="1" grandRow="1" outline="0" axis="axisRow" fieldPosition="0">
        <references count="1">
          <reference field="4294967294" count="1" selected="0">
            <x v="1"/>
          </reference>
        </references>
      </pivotArea>
    </format>
    <format dxfId="577">
      <pivotArea field="0" dataOnly="0" labelOnly="1" grandRow="1" outline="0" axis="axisRow" fieldPosition="0">
        <references count="1">
          <reference field="4294967294" count="1" selected="0">
            <x v="2"/>
          </reference>
        </references>
      </pivotArea>
    </format>
    <format dxfId="576">
      <pivotArea field="0" dataOnly="0" labelOnly="1" grandRow="1" outline="0" axis="axisRow" fieldPosition="0">
        <references count="1">
          <reference field="4294967294" count="1" selected="0">
            <x v="3"/>
          </reference>
        </references>
      </pivotArea>
    </format>
    <format dxfId="575">
      <pivotArea field="0" dataOnly="0" labelOnly="1" grandRow="1" outline="0" axis="axisRow" fieldPosition="0">
        <references count="1">
          <reference field="4294967294" count="1" selected="0">
            <x v="4"/>
          </reference>
        </references>
      </pivotArea>
    </format>
    <format dxfId="574">
      <pivotArea field="0" dataOnly="0" labelOnly="1" grandRow="1" outline="0" axis="axisRow" fieldPosition="0">
        <references count="1">
          <reference field="4294967294" count="1" selected="0">
            <x v="5"/>
          </reference>
        </references>
      </pivotArea>
    </format>
    <format dxfId="573">
      <pivotArea field="0" dataOnly="0" labelOnly="1" grandRow="1" outline="0" axis="axisRow" fieldPosition="0">
        <references count="1">
          <reference field="4294967294" count="1" selected="0">
            <x v="6"/>
          </reference>
        </references>
      </pivotArea>
    </format>
    <format dxfId="572">
      <pivotArea field="0" dataOnly="0" labelOnly="1" grandRow="1" outline="0" axis="axisRow" fieldPosition="0">
        <references count="1">
          <reference field="4294967294" count="1" selected="0">
            <x v="7"/>
          </reference>
        </references>
      </pivotArea>
    </format>
    <format dxfId="571">
      <pivotArea field="0" dataOnly="0" labelOnly="1" grandRow="1" outline="0" axis="axisRow" fieldPosition="0">
        <references count="1">
          <reference field="4294967294" count="1" selected="0">
            <x v="8"/>
          </reference>
        </references>
      </pivotArea>
    </format>
    <format dxfId="570">
      <pivotArea field="0" dataOnly="0" labelOnly="1" grandRow="1" outline="0" axis="axisRow" fieldPosition="0">
        <references count="1">
          <reference field="4294967294" count="1" selected="0">
            <x v="9"/>
          </reference>
        </references>
      </pivotArea>
    </format>
    <format dxfId="569">
      <pivotArea field="0" dataOnly="0" labelOnly="1" grandRow="1" outline="0" axis="axisRow" fieldPosition="0">
        <references count="1">
          <reference field="4294967294" count="1" selected="0">
            <x v="10"/>
          </reference>
        </references>
      </pivotArea>
    </format>
    <format dxfId="568">
      <pivotArea field="0" dataOnly="0" labelOnly="1" grandRow="1" outline="0" axis="axisRow" fieldPosition="0">
        <references count="1">
          <reference field="4294967294" count="1" selected="0">
            <x v="11"/>
          </reference>
        </references>
      </pivotArea>
    </format>
    <format dxfId="567">
      <pivotArea field="0" dataOnly="0" labelOnly="1" grandRow="1" outline="0" axis="axisRow" fieldPosition="0">
        <references count="1">
          <reference field="4294967294" count="1" selected="0">
            <x v="12"/>
          </reference>
        </references>
      </pivotArea>
    </format>
    <format dxfId="566">
      <pivotArea field="0" dataOnly="0" labelOnly="1" grandRow="1" outline="0" axis="axisRow" fieldPosition="0">
        <references count="1">
          <reference field="4294967294" count="1" selected="0">
            <x v="13"/>
          </reference>
        </references>
      </pivotArea>
    </format>
    <format dxfId="565">
      <pivotArea field="0" dataOnly="0" labelOnly="1" grandRow="1" outline="0" axis="axisRow" fieldPosition="0">
        <references count="1">
          <reference field="4294967294" count="1" selected="0">
            <x v="14"/>
          </reference>
        </references>
      </pivotArea>
    </format>
    <format dxfId="564">
      <pivotArea field="0" dataOnly="0" labelOnly="1" grandRow="1" outline="0" axis="axisRow" fieldPosition="0">
        <references count="1">
          <reference field="4294967294" count="1" selected="0">
            <x v="15"/>
          </reference>
        </references>
      </pivotArea>
    </format>
    <format dxfId="563">
      <pivotArea field="0" dataOnly="0" labelOnly="1" grandRow="1" outline="0" axis="axisRow" fieldPosition="0">
        <references count="1">
          <reference field="4294967294" count="1" selected="0">
            <x v="16"/>
          </reference>
        </references>
      </pivotArea>
    </format>
    <format dxfId="562">
      <pivotArea field="0" dataOnly="0" labelOnly="1" grandRow="1" outline="0" axis="axisRow" fieldPosition="0">
        <references count="1">
          <reference field="4294967294" count="1" selected="0">
            <x v="17"/>
          </reference>
        </references>
      </pivotArea>
    </format>
    <format dxfId="561">
      <pivotArea field="0" dataOnly="0" labelOnly="1" grandRow="1" outline="0" axis="axisRow" fieldPosition="0">
        <references count="1">
          <reference field="4294967294" count="1" selected="0">
            <x v="18"/>
          </reference>
        </references>
      </pivotArea>
    </format>
    <format dxfId="560">
      <pivotArea field="0" dataOnly="0" labelOnly="1" grandRow="1" outline="0" axis="axisRow" fieldPosition="0">
        <references count="1">
          <reference field="4294967294" count="1" selected="0">
            <x v="19"/>
          </reference>
        </references>
      </pivotArea>
    </format>
    <format dxfId="559">
      <pivotArea field="0" dataOnly="0" labelOnly="1" grandRow="1" outline="0" axis="axisRow" fieldPosition="0">
        <references count="1">
          <reference field="4294967294" count="1" selected="0">
            <x v="20"/>
          </reference>
        </references>
      </pivotArea>
    </format>
    <format dxfId="558">
      <pivotArea field="0" dataOnly="0" labelOnly="1" grandRow="1" outline="0" axis="axisRow" fieldPosition="0">
        <references count="1">
          <reference field="4294967294" count="1" selected="0">
            <x v="21"/>
          </reference>
        </references>
      </pivotArea>
    </format>
    <format dxfId="557">
      <pivotArea field="0" dataOnly="0" labelOnly="1" grandRow="1" outline="0" axis="axisRow" fieldPosition="0">
        <references count="1">
          <reference field="4294967294" count="1" selected="0">
            <x v="22"/>
          </reference>
        </references>
      </pivotArea>
    </format>
    <format dxfId="556">
      <pivotArea field="0" dataOnly="0" labelOnly="1" grandRow="1" outline="0" axis="axisRow" fieldPosition="0">
        <references count="1">
          <reference field="4294967294" count="1" selected="0">
            <x v="23"/>
          </reference>
        </references>
      </pivotArea>
    </format>
    <format dxfId="555">
      <pivotArea field="0" dataOnly="0" labelOnly="1" grandRow="1" outline="0" axis="axisRow" fieldPosition="0">
        <references count="1">
          <reference field="4294967294" count="1" selected="0">
            <x v="24"/>
          </reference>
        </references>
      </pivotArea>
    </format>
    <format dxfId="554">
      <pivotArea field="0" dataOnly="0" labelOnly="1" grandRow="1" outline="0" axis="axisRow" fieldPosition="0">
        <references count="1">
          <reference field="4294967294" count="1" selected="0">
            <x v="25"/>
          </reference>
        </references>
      </pivotArea>
    </format>
    <format dxfId="553">
      <pivotArea field="0" dataOnly="0" labelOnly="1" grandRow="1" outline="0" axis="axisRow" fieldPosition="0">
        <references count="1">
          <reference field="4294967294" count="1" selected="0">
            <x v="26"/>
          </reference>
        </references>
      </pivotArea>
    </format>
    <format dxfId="552">
      <pivotArea field="0" dataOnly="0" labelOnly="1" grandRow="1" outline="0" axis="axisRow" fieldPosition="0">
        <references count="1">
          <reference field="4294967294" count="1" selected="0">
            <x v="27"/>
          </reference>
        </references>
      </pivotArea>
    </format>
    <format dxfId="551">
      <pivotArea field="0" dataOnly="0" labelOnly="1" grandRow="1" outline="0" axis="axisRow" fieldPosition="0">
        <references count="1">
          <reference field="4294967294" count="1" selected="0">
            <x v="28"/>
          </reference>
        </references>
      </pivotArea>
    </format>
    <format dxfId="550">
      <pivotArea field="0" dataOnly="0" labelOnly="1" grandRow="1" outline="0" axis="axisRow" fieldPosition="0">
        <references count="1">
          <reference field="4294967294" count="1" selected="0">
            <x v="29"/>
          </reference>
        </references>
      </pivotArea>
    </format>
    <format dxfId="549">
      <pivotArea field="0" dataOnly="0" labelOnly="1" grandRow="1" outline="0" axis="axisRow" fieldPosition="0">
        <references count="1">
          <reference field="4294967294" count="1" selected="0">
            <x v="30"/>
          </reference>
        </references>
      </pivotArea>
    </format>
    <format dxfId="548">
      <pivotArea field="0" dataOnly="0" labelOnly="1" grandRow="1" outline="0" axis="axisRow" fieldPosition="0">
        <references count="1">
          <reference field="4294967294" count="1" selected="0">
            <x v="31"/>
          </reference>
        </references>
      </pivotArea>
    </format>
    <format dxfId="547">
      <pivotArea field="0" dataOnly="0" labelOnly="1" grandRow="1" outline="0" axis="axisRow" fieldPosition="0">
        <references count="1">
          <reference field="4294967294" count="1" selected="0">
            <x v="32"/>
          </reference>
        </references>
      </pivotArea>
    </format>
    <format dxfId="546">
      <pivotArea field="0" dataOnly="0" labelOnly="1" grandRow="1" outline="0" axis="axisRow" fieldPosition="0">
        <references count="1">
          <reference field="4294967294" count="1" selected="0">
            <x v="33"/>
          </reference>
        </references>
      </pivotArea>
    </format>
    <format dxfId="545">
      <pivotArea field="0" dataOnly="0" labelOnly="1" grandRow="1" outline="0" axis="axisRow" fieldPosition="0">
        <references count="1">
          <reference field="4294967294" count="1" selected="0">
            <x v="34"/>
          </reference>
        </references>
      </pivotArea>
    </format>
    <format dxfId="544">
      <pivotArea field="0" dataOnly="0" labelOnly="1" grandRow="1" outline="0" axis="axisRow" fieldPosition="0">
        <references count="1">
          <reference field="4294967294" count="1" selected="0">
            <x v="35"/>
          </reference>
        </references>
      </pivotArea>
    </format>
    <format dxfId="543">
      <pivotArea field="0" dataOnly="0" labelOnly="1" grandRow="1" outline="0" axis="axisRow" fieldPosition="0">
        <references count="1">
          <reference field="4294967294" count="1" selected="0">
            <x v="0"/>
          </reference>
        </references>
      </pivotArea>
    </format>
    <format dxfId="542">
      <pivotArea field="0" dataOnly="0" labelOnly="1" grandRow="1" outline="0" axis="axisRow" fieldPosition="0">
        <references count="1">
          <reference field="4294967294" count="1" selected="0">
            <x v="1"/>
          </reference>
        </references>
      </pivotArea>
    </format>
    <format dxfId="541">
      <pivotArea field="0" dataOnly="0" labelOnly="1" grandRow="1" outline="0" axis="axisRow" fieldPosition="0">
        <references count="1">
          <reference field="4294967294" count="1" selected="0">
            <x v="2"/>
          </reference>
        </references>
      </pivotArea>
    </format>
    <format dxfId="540">
      <pivotArea field="0" dataOnly="0" labelOnly="1" grandRow="1" outline="0" axis="axisRow" fieldPosition="0">
        <references count="1">
          <reference field="4294967294" count="1" selected="0">
            <x v="3"/>
          </reference>
        </references>
      </pivotArea>
    </format>
    <format dxfId="539">
      <pivotArea field="0" dataOnly="0" labelOnly="1" grandRow="1" outline="0" axis="axisRow" fieldPosition="0">
        <references count="1">
          <reference field="4294967294" count="1" selected="0">
            <x v="4"/>
          </reference>
        </references>
      </pivotArea>
    </format>
    <format dxfId="538">
      <pivotArea field="0" dataOnly="0" labelOnly="1" grandRow="1" outline="0" axis="axisRow" fieldPosition="0">
        <references count="1">
          <reference field="4294967294" count="1" selected="0">
            <x v="5"/>
          </reference>
        </references>
      </pivotArea>
    </format>
    <format dxfId="537">
      <pivotArea field="0" dataOnly="0" labelOnly="1" grandRow="1" outline="0" axis="axisRow" fieldPosition="0">
        <references count="1">
          <reference field="4294967294" count="1" selected="0">
            <x v="6"/>
          </reference>
        </references>
      </pivotArea>
    </format>
    <format dxfId="536">
      <pivotArea field="0" dataOnly="0" labelOnly="1" grandRow="1" outline="0" axis="axisRow" fieldPosition="0">
        <references count="1">
          <reference field="4294967294" count="1" selected="0">
            <x v="7"/>
          </reference>
        </references>
      </pivotArea>
    </format>
    <format dxfId="535">
      <pivotArea field="0" dataOnly="0" labelOnly="1" grandRow="1" outline="0" axis="axisRow" fieldPosition="0">
        <references count="1">
          <reference field="4294967294" count="1" selected="0">
            <x v="8"/>
          </reference>
        </references>
      </pivotArea>
    </format>
    <format dxfId="534">
      <pivotArea field="0" dataOnly="0" labelOnly="1" grandRow="1" outline="0" axis="axisRow" fieldPosition="0">
        <references count="1">
          <reference field="4294967294" count="1" selected="0">
            <x v="9"/>
          </reference>
        </references>
      </pivotArea>
    </format>
    <format dxfId="533">
      <pivotArea field="0" dataOnly="0" labelOnly="1" grandRow="1" outline="0" axis="axisRow" fieldPosition="0">
        <references count="1">
          <reference field="4294967294" count="1" selected="0">
            <x v="10"/>
          </reference>
        </references>
      </pivotArea>
    </format>
    <format dxfId="532">
      <pivotArea field="0" dataOnly="0" labelOnly="1" grandRow="1" outline="0" axis="axisRow" fieldPosition="0">
        <references count="1">
          <reference field="4294967294" count="1" selected="0">
            <x v="11"/>
          </reference>
        </references>
      </pivotArea>
    </format>
    <format dxfId="531">
      <pivotArea field="0" dataOnly="0" labelOnly="1" grandRow="1" outline="0" axis="axisRow" fieldPosition="0">
        <references count="1">
          <reference field="4294967294" count="1" selected="0">
            <x v="12"/>
          </reference>
        </references>
      </pivotArea>
    </format>
    <format dxfId="530">
      <pivotArea field="0" dataOnly="0" labelOnly="1" grandRow="1" outline="0" axis="axisRow" fieldPosition="0">
        <references count="1">
          <reference field="4294967294" count="1" selected="0">
            <x v="13"/>
          </reference>
        </references>
      </pivotArea>
    </format>
    <format dxfId="529">
      <pivotArea field="0" dataOnly="0" labelOnly="1" grandRow="1" outline="0" axis="axisRow" fieldPosition="0">
        <references count="1">
          <reference field="4294967294" count="1" selected="0">
            <x v="14"/>
          </reference>
        </references>
      </pivotArea>
    </format>
    <format dxfId="528">
      <pivotArea field="0" dataOnly="0" labelOnly="1" grandRow="1" outline="0" axis="axisRow" fieldPosition="0">
        <references count="1">
          <reference field="4294967294" count="1" selected="0">
            <x v="15"/>
          </reference>
        </references>
      </pivotArea>
    </format>
    <format dxfId="527">
      <pivotArea field="0" dataOnly="0" labelOnly="1" grandRow="1" outline="0" axis="axisRow" fieldPosition="0">
        <references count="1">
          <reference field="4294967294" count="1" selected="0">
            <x v="16"/>
          </reference>
        </references>
      </pivotArea>
    </format>
    <format dxfId="526">
      <pivotArea field="0" dataOnly="0" labelOnly="1" grandRow="1" outline="0" axis="axisRow" fieldPosition="0">
        <references count="1">
          <reference field="4294967294" count="1" selected="0">
            <x v="17"/>
          </reference>
        </references>
      </pivotArea>
    </format>
    <format dxfId="525">
      <pivotArea field="0" dataOnly="0" labelOnly="1" grandRow="1" outline="0" axis="axisRow" fieldPosition="0">
        <references count="1">
          <reference field="4294967294" count="1" selected="0">
            <x v="18"/>
          </reference>
        </references>
      </pivotArea>
    </format>
    <format dxfId="524">
      <pivotArea field="0" dataOnly="0" labelOnly="1" grandRow="1" outline="0" axis="axisRow" fieldPosition="0">
        <references count="1">
          <reference field="4294967294" count="1" selected="0">
            <x v="19"/>
          </reference>
        </references>
      </pivotArea>
    </format>
    <format dxfId="523">
      <pivotArea field="0" dataOnly="0" labelOnly="1" grandRow="1" outline="0" axis="axisRow" fieldPosition="0">
        <references count="1">
          <reference field="4294967294" count="1" selected="0">
            <x v="20"/>
          </reference>
        </references>
      </pivotArea>
    </format>
    <format dxfId="522">
      <pivotArea field="0" dataOnly="0" labelOnly="1" grandRow="1" outline="0" axis="axisRow" fieldPosition="0">
        <references count="1">
          <reference field="4294967294" count="1" selected="0">
            <x v="21"/>
          </reference>
        </references>
      </pivotArea>
    </format>
    <format dxfId="521">
      <pivotArea field="0" dataOnly="0" labelOnly="1" grandRow="1" outline="0" axis="axisRow" fieldPosition="0">
        <references count="1">
          <reference field="4294967294" count="1" selected="0">
            <x v="22"/>
          </reference>
        </references>
      </pivotArea>
    </format>
    <format dxfId="520">
      <pivotArea field="0" dataOnly="0" labelOnly="1" grandRow="1" outline="0" axis="axisRow" fieldPosition="0">
        <references count="1">
          <reference field="4294967294" count="1" selected="0">
            <x v="23"/>
          </reference>
        </references>
      </pivotArea>
    </format>
    <format dxfId="519">
      <pivotArea field="0" dataOnly="0" labelOnly="1" grandRow="1" outline="0" axis="axisRow" fieldPosition="0">
        <references count="1">
          <reference field="4294967294" count="1" selected="0">
            <x v="24"/>
          </reference>
        </references>
      </pivotArea>
    </format>
    <format dxfId="518">
      <pivotArea field="0" dataOnly="0" labelOnly="1" grandRow="1" outline="0" axis="axisRow" fieldPosition="0">
        <references count="1">
          <reference field="4294967294" count="1" selected="0">
            <x v="25"/>
          </reference>
        </references>
      </pivotArea>
    </format>
    <format dxfId="517">
      <pivotArea field="0" dataOnly="0" labelOnly="1" grandRow="1" outline="0" axis="axisRow" fieldPosition="0">
        <references count="1">
          <reference field="4294967294" count="1" selected="0">
            <x v="26"/>
          </reference>
        </references>
      </pivotArea>
    </format>
    <format dxfId="516">
      <pivotArea field="0" dataOnly="0" labelOnly="1" grandRow="1" outline="0" axis="axisRow" fieldPosition="0">
        <references count="1">
          <reference field="4294967294" count="1" selected="0">
            <x v="27"/>
          </reference>
        </references>
      </pivotArea>
    </format>
    <format dxfId="515">
      <pivotArea field="0" dataOnly="0" labelOnly="1" grandRow="1" outline="0" axis="axisRow" fieldPosition="0">
        <references count="1">
          <reference field="4294967294" count="1" selected="0">
            <x v="28"/>
          </reference>
        </references>
      </pivotArea>
    </format>
    <format dxfId="514">
      <pivotArea field="0" dataOnly="0" labelOnly="1" grandRow="1" outline="0" axis="axisRow" fieldPosition="0">
        <references count="1">
          <reference field="4294967294" count="1" selected="0">
            <x v="29"/>
          </reference>
        </references>
      </pivotArea>
    </format>
    <format dxfId="513">
      <pivotArea field="0" dataOnly="0" labelOnly="1" grandRow="1" outline="0" axis="axisRow" fieldPosition="0">
        <references count="1">
          <reference field="4294967294" count="1" selected="0">
            <x v="30"/>
          </reference>
        </references>
      </pivotArea>
    </format>
    <format dxfId="512">
      <pivotArea field="0" dataOnly="0" labelOnly="1" grandRow="1" outline="0" axis="axisRow" fieldPosition="0">
        <references count="1">
          <reference field="4294967294" count="1" selected="0">
            <x v="31"/>
          </reference>
        </references>
      </pivotArea>
    </format>
    <format dxfId="511">
      <pivotArea field="0" dataOnly="0" labelOnly="1" grandRow="1" outline="0" axis="axisRow" fieldPosition="0">
        <references count="1">
          <reference field="4294967294" count="1" selected="0">
            <x v="32"/>
          </reference>
        </references>
      </pivotArea>
    </format>
    <format dxfId="510">
      <pivotArea field="0" dataOnly="0" labelOnly="1" grandRow="1" outline="0" axis="axisRow" fieldPosition="0">
        <references count="1">
          <reference field="4294967294" count="1" selected="0">
            <x v="33"/>
          </reference>
        </references>
      </pivotArea>
    </format>
    <format dxfId="509">
      <pivotArea field="0" dataOnly="0" labelOnly="1" grandRow="1" outline="0" axis="axisRow" fieldPosition="0">
        <references count="1">
          <reference field="4294967294" count="1" selected="0">
            <x v="34"/>
          </reference>
        </references>
      </pivotArea>
    </format>
    <format dxfId="508">
      <pivotArea field="0" dataOnly="0" labelOnly="1" grandRow="1" outline="0" axis="axisRow" fieldPosition="0">
        <references count="1">
          <reference field="4294967294" count="1" selected="0">
            <x v="35"/>
          </reference>
        </references>
      </pivotArea>
    </format>
    <format dxfId="507">
      <pivotArea field="0" dataOnly="0" labelOnly="1" grandRow="1" outline="0" axis="axisRow" fieldPosition="0">
        <references count="1">
          <reference field="4294967294" count="1" selected="0">
            <x v="0"/>
          </reference>
        </references>
      </pivotArea>
    </format>
    <format dxfId="506">
      <pivotArea field="0" dataOnly="0" labelOnly="1" grandRow="1" outline="0" axis="axisRow" fieldPosition="0">
        <references count="1">
          <reference field="4294967294" count="1" selected="0">
            <x v="1"/>
          </reference>
        </references>
      </pivotArea>
    </format>
    <format dxfId="505">
      <pivotArea field="0" dataOnly="0" labelOnly="1" grandRow="1" outline="0" axis="axisRow" fieldPosition="0">
        <references count="1">
          <reference field="4294967294" count="1" selected="0">
            <x v="2"/>
          </reference>
        </references>
      </pivotArea>
    </format>
    <format dxfId="504">
      <pivotArea field="0" dataOnly="0" labelOnly="1" grandRow="1" outline="0" axis="axisRow" fieldPosition="0">
        <references count="1">
          <reference field="4294967294" count="1" selected="0">
            <x v="3"/>
          </reference>
        </references>
      </pivotArea>
    </format>
    <format dxfId="503">
      <pivotArea field="0" dataOnly="0" labelOnly="1" grandRow="1" outline="0" axis="axisRow" fieldPosition="0">
        <references count="1">
          <reference field="4294967294" count="1" selected="0">
            <x v="4"/>
          </reference>
        </references>
      </pivotArea>
    </format>
    <format dxfId="502">
      <pivotArea field="0" dataOnly="0" labelOnly="1" grandRow="1" outline="0" axis="axisRow" fieldPosition="0">
        <references count="1">
          <reference field="4294967294" count="1" selected="0">
            <x v="5"/>
          </reference>
        </references>
      </pivotArea>
    </format>
    <format dxfId="501">
      <pivotArea field="0" dataOnly="0" labelOnly="1" grandRow="1" outline="0" axis="axisRow" fieldPosition="0">
        <references count="1">
          <reference field="4294967294" count="1" selected="0">
            <x v="6"/>
          </reference>
        </references>
      </pivotArea>
    </format>
    <format dxfId="500">
      <pivotArea field="0" dataOnly="0" labelOnly="1" grandRow="1" outline="0" axis="axisRow" fieldPosition="0">
        <references count="1">
          <reference field="4294967294" count="1" selected="0">
            <x v="7"/>
          </reference>
        </references>
      </pivotArea>
    </format>
    <format dxfId="499">
      <pivotArea field="0" dataOnly="0" labelOnly="1" grandRow="1" outline="0" axis="axisRow" fieldPosition="0">
        <references count="1">
          <reference field="4294967294" count="1" selected="0">
            <x v="8"/>
          </reference>
        </references>
      </pivotArea>
    </format>
    <format dxfId="498">
      <pivotArea field="0" dataOnly="0" labelOnly="1" grandRow="1" outline="0" axis="axisRow" fieldPosition="0">
        <references count="1">
          <reference field="4294967294" count="1" selected="0">
            <x v="9"/>
          </reference>
        </references>
      </pivotArea>
    </format>
    <format dxfId="497">
      <pivotArea field="0" dataOnly="0" labelOnly="1" grandRow="1" outline="0" axis="axisRow" fieldPosition="0">
        <references count="1">
          <reference field="4294967294" count="1" selected="0">
            <x v="10"/>
          </reference>
        </references>
      </pivotArea>
    </format>
    <format dxfId="496">
      <pivotArea field="0" dataOnly="0" labelOnly="1" grandRow="1" outline="0" axis="axisRow" fieldPosition="0">
        <references count="1">
          <reference field="4294967294" count="1" selected="0">
            <x v="11"/>
          </reference>
        </references>
      </pivotArea>
    </format>
    <format dxfId="495">
      <pivotArea field="0" dataOnly="0" labelOnly="1" grandRow="1" outline="0" axis="axisRow" fieldPosition="0">
        <references count="1">
          <reference field="4294967294" count="1" selected="0">
            <x v="12"/>
          </reference>
        </references>
      </pivotArea>
    </format>
    <format dxfId="494">
      <pivotArea field="0" dataOnly="0" labelOnly="1" grandRow="1" outline="0" axis="axisRow" fieldPosition="0">
        <references count="1">
          <reference field="4294967294" count="1" selected="0">
            <x v="13"/>
          </reference>
        </references>
      </pivotArea>
    </format>
    <format dxfId="493">
      <pivotArea field="0" dataOnly="0" labelOnly="1" grandRow="1" outline="0" axis="axisRow" fieldPosition="0">
        <references count="1">
          <reference field="4294967294" count="1" selected="0">
            <x v="14"/>
          </reference>
        </references>
      </pivotArea>
    </format>
    <format dxfId="492">
      <pivotArea field="0" dataOnly="0" labelOnly="1" grandRow="1" outline="0" axis="axisRow" fieldPosition="0">
        <references count="1">
          <reference field="4294967294" count="1" selected="0">
            <x v="15"/>
          </reference>
        </references>
      </pivotArea>
    </format>
    <format dxfId="491">
      <pivotArea field="0" dataOnly="0" labelOnly="1" grandRow="1" outline="0" axis="axisRow" fieldPosition="0">
        <references count="1">
          <reference field="4294967294" count="1" selected="0">
            <x v="16"/>
          </reference>
        </references>
      </pivotArea>
    </format>
    <format dxfId="490">
      <pivotArea field="0" dataOnly="0" labelOnly="1" grandRow="1" outline="0" axis="axisRow" fieldPosition="0">
        <references count="1">
          <reference field="4294967294" count="1" selected="0">
            <x v="17"/>
          </reference>
        </references>
      </pivotArea>
    </format>
    <format dxfId="489">
      <pivotArea field="0" dataOnly="0" labelOnly="1" grandRow="1" outline="0" axis="axisRow" fieldPosition="0">
        <references count="1">
          <reference field="4294967294" count="1" selected="0">
            <x v="18"/>
          </reference>
        </references>
      </pivotArea>
    </format>
    <format dxfId="488">
      <pivotArea field="0" dataOnly="0" labelOnly="1" grandRow="1" outline="0" axis="axisRow" fieldPosition="0">
        <references count="1">
          <reference field="4294967294" count="1" selected="0">
            <x v="19"/>
          </reference>
        </references>
      </pivotArea>
    </format>
    <format dxfId="487">
      <pivotArea field="0" dataOnly="0" labelOnly="1" grandRow="1" outline="0" axis="axisRow" fieldPosition="0">
        <references count="1">
          <reference field="4294967294" count="1" selected="0">
            <x v="20"/>
          </reference>
        </references>
      </pivotArea>
    </format>
    <format dxfId="486">
      <pivotArea field="0" dataOnly="0" labelOnly="1" grandRow="1" outline="0" axis="axisRow" fieldPosition="0">
        <references count="1">
          <reference field="4294967294" count="1" selected="0">
            <x v="21"/>
          </reference>
        </references>
      </pivotArea>
    </format>
    <format dxfId="485">
      <pivotArea field="0" dataOnly="0" labelOnly="1" grandRow="1" outline="0" axis="axisRow" fieldPosition="0">
        <references count="1">
          <reference field="4294967294" count="1" selected="0">
            <x v="22"/>
          </reference>
        </references>
      </pivotArea>
    </format>
    <format dxfId="484">
      <pivotArea field="0" dataOnly="0" labelOnly="1" grandRow="1" outline="0" axis="axisRow" fieldPosition="0">
        <references count="1">
          <reference field="4294967294" count="1" selected="0">
            <x v="23"/>
          </reference>
        </references>
      </pivotArea>
    </format>
    <format dxfId="483">
      <pivotArea field="0" dataOnly="0" labelOnly="1" grandRow="1" outline="0" axis="axisRow" fieldPosition="0">
        <references count="1">
          <reference field="4294967294" count="1" selected="0">
            <x v="24"/>
          </reference>
        </references>
      </pivotArea>
    </format>
    <format dxfId="482">
      <pivotArea field="0" dataOnly="0" labelOnly="1" grandRow="1" outline="0" axis="axisRow" fieldPosition="0">
        <references count="1">
          <reference field="4294967294" count="1" selected="0">
            <x v="25"/>
          </reference>
        </references>
      </pivotArea>
    </format>
    <format dxfId="481">
      <pivotArea field="0" dataOnly="0" labelOnly="1" grandRow="1" outline="0" axis="axisRow" fieldPosition="0">
        <references count="1">
          <reference field="4294967294" count="1" selected="0">
            <x v="26"/>
          </reference>
        </references>
      </pivotArea>
    </format>
    <format dxfId="480">
      <pivotArea field="0" dataOnly="0" labelOnly="1" grandRow="1" outline="0" axis="axisRow" fieldPosition="0">
        <references count="1">
          <reference field="4294967294" count="1" selected="0">
            <x v="27"/>
          </reference>
        </references>
      </pivotArea>
    </format>
    <format dxfId="479">
      <pivotArea field="0" dataOnly="0" labelOnly="1" grandRow="1" outline="0" axis="axisRow" fieldPosition="0">
        <references count="1">
          <reference field="4294967294" count="1" selected="0">
            <x v="28"/>
          </reference>
        </references>
      </pivotArea>
    </format>
    <format dxfId="478">
      <pivotArea field="0" dataOnly="0" labelOnly="1" grandRow="1" outline="0" axis="axisRow" fieldPosition="0">
        <references count="1">
          <reference field="4294967294" count="1" selected="0">
            <x v="29"/>
          </reference>
        </references>
      </pivotArea>
    </format>
    <format dxfId="477">
      <pivotArea field="0" dataOnly="0" labelOnly="1" grandRow="1" outline="0" axis="axisRow" fieldPosition="0">
        <references count="1">
          <reference field="4294967294" count="1" selected="0">
            <x v="30"/>
          </reference>
        </references>
      </pivotArea>
    </format>
    <format dxfId="476">
      <pivotArea field="0" dataOnly="0" labelOnly="1" grandRow="1" outline="0" axis="axisRow" fieldPosition="0">
        <references count="1">
          <reference field="4294967294" count="1" selected="0">
            <x v="31"/>
          </reference>
        </references>
      </pivotArea>
    </format>
    <format dxfId="475">
      <pivotArea field="0" dataOnly="0" labelOnly="1" grandRow="1" outline="0" axis="axisRow" fieldPosition="0">
        <references count="1">
          <reference field="4294967294" count="1" selected="0">
            <x v="32"/>
          </reference>
        </references>
      </pivotArea>
    </format>
    <format dxfId="474">
      <pivotArea field="0" dataOnly="0" labelOnly="1" grandRow="1" outline="0" axis="axisRow" fieldPosition="0">
        <references count="1">
          <reference field="4294967294" count="1" selected="0">
            <x v="33"/>
          </reference>
        </references>
      </pivotArea>
    </format>
    <format dxfId="473">
      <pivotArea field="0" dataOnly="0" labelOnly="1" grandRow="1" outline="0" axis="axisRow" fieldPosition="0">
        <references count="1">
          <reference field="4294967294" count="1" selected="0">
            <x v="34"/>
          </reference>
        </references>
      </pivotArea>
    </format>
    <format dxfId="472">
      <pivotArea field="0" dataOnly="0" labelOnly="1" grandRow="1" outline="0" axis="axisRow" fieldPosition="0">
        <references count="1">
          <reference field="4294967294" count="1" selected="0">
            <x v="35"/>
          </reference>
        </references>
      </pivotArea>
    </format>
    <format dxfId="471">
      <pivotArea field="0" dataOnly="0" labelOnly="1" grandRow="1" outline="0" axis="axisRow" fieldPosition="0">
        <references count="1">
          <reference field="4294967294" count="1" selected="0">
            <x v="0"/>
          </reference>
        </references>
      </pivotArea>
    </format>
    <format dxfId="470">
      <pivotArea field="0" dataOnly="0" labelOnly="1" grandRow="1" outline="0" axis="axisRow" fieldPosition="0">
        <references count="1">
          <reference field="4294967294" count="1" selected="0">
            <x v="1"/>
          </reference>
        </references>
      </pivotArea>
    </format>
    <format dxfId="469">
      <pivotArea field="0" dataOnly="0" labelOnly="1" grandRow="1" outline="0" axis="axisRow" fieldPosition="0">
        <references count="1">
          <reference field="4294967294" count="1" selected="0">
            <x v="2"/>
          </reference>
        </references>
      </pivotArea>
    </format>
    <format dxfId="468">
      <pivotArea field="0" dataOnly="0" labelOnly="1" grandRow="1" outline="0" axis="axisRow" fieldPosition="0">
        <references count="1">
          <reference field="4294967294" count="1" selected="0">
            <x v="3"/>
          </reference>
        </references>
      </pivotArea>
    </format>
    <format dxfId="467">
      <pivotArea field="0" dataOnly="0" labelOnly="1" grandRow="1" outline="0" axis="axisRow" fieldPosition="0">
        <references count="1">
          <reference field="4294967294" count="1" selected="0">
            <x v="4"/>
          </reference>
        </references>
      </pivotArea>
    </format>
    <format dxfId="466">
      <pivotArea field="0" dataOnly="0" labelOnly="1" grandRow="1" outline="0" axis="axisRow" fieldPosition="0">
        <references count="1">
          <reference field="4294967294" count="1" selected="0">
            <x v="5"/>
          </reference>
        </references>
      </pivotArea>
    </format>
    <format dxfId="465">
      <pivotArea field="0" dataOnly="0" labelOnly="1" grandRow="1" outline="0" axis="axisRow" fieldPosition="0">
        <references count="1">
          <reference field="4294967294" count="1" selected="0">
            <x v="6"/>
          </reference>
        </references>
      </pivotArea>
    </format>
    <format dxfId="464">
      <pivotArea field="0" dataOnly="0" labelOnly="1" grandRow="1" outline="0" axis="axisRow" fieldPosition="0">
        <references count="1">
          <reference field="4294967294" count="1" selected="0">
            <x v="7"/>
          </reference>
        </references>
      </pivotArea>
    </format>
    <format dxfId="463">
      <pivotArea field="0" dataOnly="0" labelOnly="1" grandRow="1" outline="0" axis="axisRow" fieldPosition="0">
        <references count="1">
          <reference field="4294967294" count="1" selected="0">
            <x v="8"/>
          </reference>
        </references>
      </pivotArea>
    </format>
    <format dxfId="462">
      <pivotArea field="0" dataOnly="0" labelOnly="1" grandRow="1" outline="0" axis="axisRow" fieldPosition="0">
        <references count="1">
          <reference field="4294967294" count="1" selected="0">
            <x v="9"/>
          </reference>
        </references>
      </pivotArea>
    </format>
    <format dxfId="461">
      <pivotArea field="0" dataOnly="0" labelOnly="1" grandRow="1" outline="0" axis="axisRow" fieldPosition="0">
        <references count="1">
          <reference field="4294967294" count="1" selected="0">
            <x v="10"/>
          </reference>
        </references>
      </pivotArea>
    </format>
    <format dxfId="460">
      <pivotArea field="0" dataOnly="0" labelOnly="1" grandRow="1" outline="0" axis="axisRow" fieldPosition="0">
        <references count="1">
          <reference field="4294967294" count="1" selected="0">
            <x v="11"/>
          </reference>
        </references>
      </pivotArea>
    </format>
    <format dxfId="459">
      <pivotArea field="0" dataOnly="0" labelOnly="1" grandRow="1" outline="0" axis="axisRow" fieldPosition="0">
        <references count="1">
          <reference field="4294967294" count="1" selected="0">
            <x v="12"/>
          </reference>
        </references>
      </pivotArea>
    </format>
    <format dxfId="458">
      <pivotArea field="0" dataOnly="0" labelOnly="1" grandRow="1" outline="0" axis="axisRow" fieldPosition="0">
        <references count="1">
          <reference field="4294967294" count="1" selected="0">
            <x v="13"/>
          </reference>
        </references>
      </pivotArea>
    </format>
    <format dxfId="457">
      <pivotArea field="0" dataOnly="0" labelOnly="1" grandRow="1" outline="0" axis="axisRow" fieldPosition="0">
        <references count="1">
          <reference field="4294967294" count="1" selected="0">
            <x v="14"/>
          </reference>
        </references>
      </pivotArea>
    </format>
    <format dxfId="456">
      <pivotArea field="0" dataOnly="0" labelOnly="1" grandRow="1" outline="0" axis="axisRow" fieldPosition="0">
        <references count="1">
          <reference field="4294967294" count="1" selected="0">
            <x v="15"/>
          </reference>
        </references>
      </pivotArea>
    </format>
    <format dxfId="455">
      <pivotArea field="0" dataOnly="0" labelOnly="1" grandRow="1" outline="0" axis="axisRow" fieldPosition="0">
        <references count="1">
          <reference field="4294967294" count="1" selected="0">
            <x v="16"/>
          </reference>
        </references>
      </pivotArea>
    </format>
    <format dxfId="454">
      <pivotArea field="0" dataOnly="0" labelOnly="1" grandRow="1" outline="0" axis="axisRow" fieldPosition="0">
        <references count="1">
          <reference field="4294967294" count="1" selected="0">
            <x v="17"/>
          </reference>
        </references>
      </pivotArea>
    </format>
    <format dxfId="453">
      <pivotArea field="0" dataOnly="0" labelOnly="1" grandRow="1" outline="0" axis="axisRow" fieldPosition="0">
        <references count="1">
          <reference field="4294967294" count="1" selected="0">
            <x v="18"/>
          </reference>
        </references>
      </pivotArea>
    </format>
    <format dxfId="452">
      <pivotArea field="0" dataOnly="0" labelOnly="1" grandRow="1" outline="0" axis="axisRow" fieldPosition="0">
        <references count="1">
          <reference field="4294967294" count="1" selected="0">
            <x v="19"/>
          </reference>
        </references>
      </pivotArea>
    </format>
    <format dxfId="451">
      <pivotArea field="0" dataOnly="0" labelOnly="1" grandRow="1" outline="0" axis="axisRow" fieldPosition="0">
        <references count="1">
          <reference field="4294967294" count="1" selected="0">
            <x v="20"/>
          </reference>
        </references>
      </pivotArea>
    </format>
    <format dxfId="450">
      <pivotArea field="0" dataOnly="0" labelOnly="1" grandRow="1" outline="0" axis="axisRow" fieldPosition="0">
        <references count="1">
          <reference field="4294967294" count="1" selected="0">
            <x v="21"/>
          </reference>
        </references>
      </pivotArea>
    </format>
    <format dxfId="449">
      <pivotArea field="0" dataOnly="0" labelOnly="1" grandRow="1" outline="0" axis="axisRow" fieldPosition="0">
        <references count="1">
          <reference field="4294967294" count="1" selected="0">
            <x v="22"/>
          </reference>
        </references>
      </pivotArea>
    </format>
    <format dxfId="448">
      <pivotArea field="0" dataOnly="0" labelOnly="1" grandRow="1" outline="0" axis="axisRow" fieldPosition="0">
        <references count="1">
          <reference field="4294967294" count="1" selected="0">
            <x v="23"/>
          </reference>
        </references>
      </pivotArea>
    </format>
    <format dxfId="447">
      <pivotArea field="0" dataOnly="0" labelOnly="1" grandRow="1" outline="0" axis="axisRow" fieldPosition="0">
        <references count="1">
          <reference field="4294967294" count="1" selected="0">
            <x v="24"/>
          </reference>
        </references>
      </pivotArea>
    </format>
    <format dxfId="446">
      <pivotArea field="0" dataOnly="0" labelOnly="1" grandRow="1" outline="0" axis="axisRow" fieldPosition="0">
        <references count="1">
          <reference field="4294967294" count="1" selected="0">
            <x v="25"/>
          </reference>
        </references>
      </pivotArea>
    </format>
    <format dxfId="445">
      <pivotArea field="0" dataOnly="0" labelOnly="1" grandRow="1" outline="0" axis="axisRow" fieldPosition="0">
        <references count="1">
          <reference field="4294967294" count="1" selected="0">
            <x v="26"/>
          </reference>
        </references>
      </pivotArea>
    </format>
    <format dxfId="444">
      <pivotArea field="0" dataOnly="0" labelOnly="1" grandRow="1" outline="0" axis="axisRow" fieldPosition="0">
        <references count="1">
          <reference field="4294967294" count="1" selected="0">
            <x v="27"/>
          </reference>
        </references>
      </pivotArea>
    </format>
    <format dxfId="443">
      <pivotArea field="0" dataOnly="0" labelOnly="1" grandRow="1" outline="0" axis="axisRow" fieldPosition="0">
        <references count="1">
          <reference field="4294967294" count="1" selected="0">
            <x v="28"/>
          </reference>
        </references>
      </pivotArea>
    </format>
    <format dxfId="442">
      <pivotArea field="0" dataOnly="0" labelOnly="1" grandRow="1" outline="0" axis="axisRow" fieldPosition="0">
        <references count="1">
          <reference field="4294967294" count="1" selected="0">
            <x v="29"/>
          </reference>
        </references>
      </pivotArea>
    </format>
    <format dxfId="441">
      <pivotArea field="0" dataOnly="0" labelOnly="1" grandRow="1" outline="0" axis="axisRow" fieldPosition="0">
        <references count="1">
          <reference field="4294967294" count="1" selected="0">
            <x v="30"/>
          </reference>
        </references>
      </pivotArea>
    </format>
    <format dxfId="440">
      <pivotArea field="0" dataOnly="0" labelOnly="1" grandRow="1" outline="0" axis="axisRow" fieldPosition="0">
        <references count="1">
          <reference field="4294967294" count="1" selected="0">
            <x v="31"/>
          </reference>
        </references>
      </pivotArea>
    </format>
    <format dxfId="439">
      <pivotArea field="0" dataOnly="0" labelOnly="1" grandRow="1" outline="0" axis="axisRow" fieldPosition="0">
        <references count="1">
          <reference field="4294967294" count="1" selected="0">
            <x v="32"/>
          </reference>
        </references>
      </pivotArea>
    </format>
    <format dxfId="438">
      <pivotArea field="0" dataOnly="0" labelOnly="1" grandRow="1" outline="0" axis="axisRow" fieldPosition="0">
        <references count="1">
          <reference field="4294967294" count="1" selected="0">
            <x v="33"/>
          </reference>
        </references>
      </pivotArea>
    </format>
    <format dxfId="437">
      <pivotArea field="0" dataOnly="0" labelOnly="1" grandRow="1" outline="0" axis="axisRow" fieldPosition="0">
        <references count="1">
          <reference field="4294967294" count="1" selected="0">
            <x v="34"/>
          </reference>
        </references>
      </pivotArea>
    </format>
    <format dxfId="436">
      <pivotArea field="0" dataOnly="0" labelOnly="1" grandRow="1" outline="0" axis="axisRow" fieldPosition="0">
        <references count="1">
          <reference field="4294967294" count="1" selected="0">
            <x v="35"/>
          </reference>
        </references>
      </pivotArea>
    </format>
    <format dxfId="435">
      <pivotArea field="0" dataOnly="0" labelOnly="1" grandRow="1" outline="0" axis="axisRow" fieldPosition="0">
        <references count="1">
          <reference field="4294967294" count="1" selected="0">
            <x v="0"/>
          </reference>
        </references>
      </pivotArea>
    </format>
    <format dxfId="434">
      <pivotArea field="0" dataOnly="0" labelOnly="1" grandRow="1" outline="0" axis="axisRow" fieldPosition="0">
        <references count="1">
          <reference field="4294967294" count="1" selected="0">
            <x v="1"/>
          </reference>
        </references>
      </pivotArea>
    </format>
    <format dxfId="433">
      <pivotArea field="0" dataOnly="0" labelOnly="1" grandRow="1" outline="0" axis="axisRow" fieldPosition="0">
        <references count="1">
          <reference field="4294967294" count="1" selected="0">
            <x v="2"/>
          </reference>
        </references>
      </pivotArea>
    </format>
    <format dxfId="432">
      <pivotArea field="0" dataOnly="0" labelOnly="1" grandRow="1" outline="0" axis="axisRow" fieldPosition="0">
        <references count="1">
          <reference field="4294967294" count="1" selected="0">
            <x v="3"/>
          </reference>
        </references>
      </pivotArea>
    </format>
    <format dxfId="431">
      <pivotArea field="0" dataOnly="0" labelOnly="1" grandRow="1" outline="0" axis="axisRow" fieldPosition="0">
        <references count="1">
          <reference field="4294967294" count="1" selected="0">
            <x v="4"/>
          </reference>
        </references>
      </pivotArea>
    </format>
    <format dxfId="430">
      <pivotArea field="0" dataOnly="0" labelOnly="1" grandRow="1" outline="0" axis="axisRow" fieldPosition="0">
        <references count="1">
          <reference field="4294967294" count="1" selected="0">
            <x v="5"/>
          </reference>
        </references>
      </pivotArea>
    </format>
    <format dxfId="429">
      <pivotArea field="0" dataOnly="0" labelOnly="1" grandRow="1" outline="0" axis="axisRow" fieldPosition="0">
        <references count="1">
          <reference field="4294967294" count="1" selected="0">
            <x v="6"/>
          </reference>
        </references>
      </pivotArea>
    </format>
    <format dxfId="428">
      <pivotArea field="0" dataOnly="0" labelOnly="1" grandRow="1" outline="0" axis="axisRow" fieldPosition="0">
        <references count="1">
          <reference field="4294967294" count="1" selected="0">
            <x v="7"/>
          </reference>
        </references>
      </pivotArea>
    </format>
    <format dxfId="427">
      <pivotArea field="0" dataOnly="0" labelOnly="1" grandRow="1" outline="0" axis="axisRow" fieldPosition="0">
        <references count="1">
          <reference field="4294967294" count="1" selected="0">
            <x v="8"/>
          </reference>
        </references>
      </pivotArea>
    </format>
    <format dxfId="426">
      <pivotArea field="0" dataOnly="0" labelOnly="1" grandRow="1" outline="0" axis="axisRow" fieldPosition="0">
        <references count="1">
          <reference field="4294967294" count="1" selected="0">
            <x v="9"/>
          </reference>
        </references>
      </pivotArea>
    </format>
    <format dxfId="425">
      <pivotArea field="0" dataOnly="0" labelOnly="1" grandRow="1" outline="0" axis="axisRow" fieldPosition="0">
        <references count="1">
          <reference field="4294967294" count="1" selected="0">
            <x v="10"/>
          </reference>
        </references>
      </pivotArea>
    </format>
    <format dxfId="424">
      <pivotArea field="0" dataOnly="0" labelOnly="1" grandRow="1" outline="0" axis="axisRow" fieldPosition="0">
        <references count="1">
          <reference field="4294967294" count="1" selected="0">
            <x v="11"/>
          </reference>
        </references>
      </pivotArea>
    </format>
    <format dxfId="423">
      <pivotArea field="0" dataOnly="0" labelOnly="1" grandRow="1" outline="0" axis="axisRow" fieldPosition="0">
        <references count="1">
          <reference field="4294967294" count="1" selected="0">
            <x v="12"/>
          </reference>
        </references>
      </pivotArea>
    </format>
    <format dxfId="422">
      <pivotArea field="0" dataOnly="0" labelOnly="1" grandRow="1" outline="0" axis="axisRow" fieldPosition="0">
        <references count="1">
          <reference field="4294967294" count="1" selected="0">
            <x v="13"/>
          </reference>
        </references>
      </pivotArea>
    </format>
    <format dxfId="421">
      <pivotArea field="0" dataOnly="0" labelOnly="1" grandRow="1" outline="0" axis="axisRow" fieldPosition="0">
        <references count="1">
          <reference field="4294967294" count="1" selected="0">
            <x v="14"/>
          </reference>
        </references>
      </pivotArea>
    </format>
    <format dxfId="420">
      <pivotArea field="0" dataOnly="0" labelOnly="1" grandRow="1" outline="0" axis="axisRow" fieldPosition="0">
        <references count="1">
          <reference field="4294967294" count="1" selected="0">
            <x v="15"/>
          </reference>
        </references>
      </pivotArea>
    </format>
    <format dxfId="419">
      <pivotArea field="0" dataOnly="0" labelOnly="1" grandRow="1" outline="0" axis="axisRow" fieldPosition="0">
        <references count="1">
          <reference field="4294967294" count="1" selected="0">
            <x v="16"/>
          </reference>
        </references>
      </pivotArea>
    </format>
    <format dxfId="418">
      <pivotArea field="0" dataOnly="0" labelOnly="1" grandRow="1" outline="0" axis="axisRow" fieldPosition="0">
        <references count="1">
          <reference field="4294967294" count="1" selected="0">
            <x v="17"/>
          </reference>
        </references>
      </pivotArea>
    </format>
    <format dxfId="417">
      <pivotArea field="0" dataOnly="0" labelOnly="1" grandRow="1" outline="0" axis="axisRow" fieldPosition="0">
        <references count="1">
          <reference field="4294967294" count="1" selected="0">
            <x v="18"/>
          </reference>
        </references>
      </pivotArea>
    </format>
    <format dxfId="416">
      <pivotArea field="0" dataOnly="0" labelOnly="1" grandRow="1" outline="0" axis="axisRow" fieldPosition="0">
        <references count="1">
          <reference field="4294967294" count="1" selected="0">
            <x v="19"/>
          </reference>
        </references>
      </pivotArea>
    </format>
    <format dxfId="415">
      <pivotArea field="0" dataOnly="0" labelOnly="1" grandRow="1" outline="0" axis="axisRow" fieldPosition="0">
        <references count="1">
          <reference field="4294967294" count="1" selected="0">
            <x v="20"/>
          </reference>
        </references>
      </pivotArea>
    </format>
    <format dxfId="414">
      <pivotArea field="0" dataOnly="0" labelOnly="1" grandRow="1" outline="0" axis="axisRow" fieldPosition="0">
        <references count="1">
          <reference field="4294967294" count="1" selected="0">
            <x v="21"/>
          </reference>
        </references>
      </pivotArea>
    </format>
    <format dxfId="413">
      <pivotArea field="0" dataOnly="0" labelOnly="1" grandRow="1" outline="0" axis="axisRow" fieldPosition="0">
        <references count="1">
          <reference field="4294967294" count="1" selected="0">
            <x v="22"/>
          </reference>
        </references>
      </pivotArea>
    </format>
    <format dxfId="412">
      <pivotArea field="0" dataOnly="0" labelOnly="1" grandRow="1" outline="0" axis="axisRow" fieldPosition="0">
        <references count="1">
          <reference field="4294967294" count="1" selected="0">
            <x v="23"/>
          </reference>
        </references>
      </pivotArea>
    </format>
    <format dxfId="411">
      <pivotArea field="0" dataOnly="0" labelOnly="1" grandRow="1" outline="0" axis="axisRow" fieldPosition="0">
        <references count="1">
          <reference field="4294967294" count="1" selected="0">
            <x v="24"/>
          </reference>
        </references>
      </pivotArea>
    </format>
    <format dxfId="410">
      <pivotArea field="0" dataOnly="0" labelOnly="1" grandRow="1" outline="0" axis="axisRow" fieldPosition="0">
        <references count="1">
          <reference field="4294967294" count="1" selected="0">
            <x v="25"/>
          </reference>
        </references>
      </pivotArea>
    </format>
    <format dxfId="409">
      <pivotArea field="0" dataOnly="0" labelOnly="1" grandRow="1" outline="0" axis="axisRow" fieldPosition="0">
        <references count="1">
          <reference field="4294967294" count="1" selected="0">
            <x v="26"/>
          </reference>
        </references>
      </pivotArea>
    </format>
    <format dxfId="408">
      <pivotArea field="0" dataOnly="0" labelOnly="1" grandRow="1" outline="0" axis="axisRow" fieldPosition="0">
        <references count="1">
          <reference field="4294967294" count="1" selected="0">
            <x v="27"/>
          </reference>
        </references>
      </pivotArea>
    </format>
    <format dxfId="407">
      <pivotArea field="0" dataOnly="0" labelOnly="1" grandRow="1" outline="0" axis="axisRow" fieldPosition="0">
        <references count="1">
          <reference field="4294967294" count="1" selected="0">
            <x v="28"/>
          </reference>
        </references>
      </pivotArea>
    </format>
    <format dxfId="406">
      <pivotArea field="0" dataOnly="0" labelOnly="1" grandRow="1" outline="0" axis="axisRow" fieldPosition="0">
        <references count="1">
          <reference field="4294967294" count="1" selected="0">
            <x v="29"/>
          </reference>
        </references>
      </pivotArea>
    </format>
    <format dxfId="405">
      <pivotArea field="0" dataOnly="0" labelOnly="1" grandRow="1" outline="0" axis="axisRow" fieldPosition="0">
        <references count="1">
          <reference field="4294967294" count="1" selected="0">
            <x v="30"/>
          </reference>
        </references>
      </pivotArea>
    </format>
    <format dxfId="404">
      <pivotArea field="0" dataOnly="0" labelOnly="1" grandRow="1" outline="0" axis="axisRow" fieldPosition="0">
        <references count="1">
          <reference field="4294967294" count="1" selected="0">
            <x v="31"/>
          </reference>
        </references>
      </pivotArea>
    </format>
    <format dxfId="403">
      <pivotArea field="0" dataOnly="0" labelOnly="1" grandRow="1" outline="0" axis="axisRow" fieldPosition="0">
        <references count="1">
          <reference field="4294967294" count="1" selected="0">
            <x v="32"/>
          </reference>
        </references>
      </pivotArea>
    </format>
    <format dxfId="402">
      <pivotArea field="0" dataOnly="0" labelOnly="1" grandRow="1" outline="0" axis="axisRow" fieldPosition="0">
        <references count="1">
          <reference field="4294967294" count="1" selected="0">
            <x v="33"/>
          </reference>
        </references>
      </pivotArea>
    </format>
    <format dxfId="401">
      <pivotArea field="0" dataOnly="0" labelOnly="1" grandRow="1" outline="0" axis="axisRow" fieldPosition="0">
        <references count="1">
          <reference field="4294967294" count="1" selected="0">
            <x v="34"/>
          </reference>
        </references>
      </pivotArea>
    </format>
    <format dxfId="400">
      <pivotArea field="0" dataOnly="0" labelOnly="1" grandRow="1" outline="0" axis="axisRow" fieldPosition="0">
        <references count="1">
          <reference field="4294967294" count="1" selected="0">
            <x v="35"/>
          </reference>
        </references>
      </pivotArea>
    </format>
    <format dxfId="399">
      <pivotArea field="0" dataOnly="0" labelOnly="1" grandRow="1" outline="0" axis="axisRow" fieldPosition="0">
        <references count="1">
          <reference field="4294967294" count="1" selected="0">
            <x v="0"/>
          </reference>
        </references>
      </pivotArea>
    </format>
    <format dxfId="398">
      <pivotArea field="0" dataOnly="0" labelOnly="1" grandRow="1" outline="0" axis="axisRow" fieldPosition="0">
        <references count="1">
          <reference field="4294967294" count="1" selected="0">
            <x v="1"/>
          </reference>
        </references>
      </pivotArea>
    </format>
    <format dxfId="397">
      <pivotArea field="0" dataOnly="0" labelOnly="1" grandRow="1" outline="0" axis="axisRow" fieldPosition="0">
        <references count="1">
          <reference field="4294967294" count="1" selected="0">
            <x v="2"/>
          </reference>
        </references>
      </pivotArea>
    </format>
    <format dxfId="396">
      <pivotArea field="0" dataOnly="0" labelOnly="1" grandRow="1" outline="0" axis="axisRow" fieldPosition="0">
        <references count="1">
          <reference field="4294967294" count="1" selected="0">
            <x v="3"/>
          </reference>
        </references>
      </pivotArea>
    </format>
    <format dxfId="395">
      <pivotArea field="0" dataOnly="0" labelOnly="1" grandRow="1" outline="0" axis="axisRow" fieldPosition="0">
        <references count="1">
          <reference field="4294967294" count="1" selected="0">
            <x v="4"/>
          </reference>
        </references>
      </pivotArea>
    </format>
    <format dxfId="394">
      <pivotArea field="0" dataOnly="0" labelOnly="1" grandRow="1" outline="0" axis="axisRow" fieldPosition="0">
        <references count="1">
          <reference field="4294967294" count="1" selected="0">
            <x v="5"/>
          </reference>
        </references>
      </pivotArea>
    </format>
    <format dxfId="393">
      <pivotArea field="0" dataOnly="0" labelOnly="1" grandRow="1" outline="0" axis="axisRow" fieldPosition="0">
        <references count="1">
          <reference field="4294967294" count="1" selected="0">
            <x v="6"/>
          </reference>
        </references>
      </pivotArea>
    </format>
    <format dxfId="392">
      <pivotArea field="0" dataOnly="0" labelOnly="1" grandRow="1" outline="0" axis="axisRow" fieldPosition="0">
        <references count="1">
          <reference field="4294967294" count="1" selected="0">
            <x v="7"/>
          </reference>
        </references>
      </pivotArea>
    </format>
    <format dxfId="391">
      <pivotArea field="0" dataOnly="0" labelOnly="1" grandRow="1" outline="0" axis="axisRow" fieldPosition="0">
        <references count="1">
          <reference field="4294967294" count="1" selected="0">
            <x v="8"/>
          </reference>
        </references>
      </pivotArea>
    </format>
    <format dxfId="390">
      <pivotArea field="0" dataOnly="0" labelOnly="1" grandRow="1" outline="0" axis="axisRow" fieldPosition="0">
        <references count="1">
          <reference field="4294967294" count="1" selected="0">
            <x v="9"/>
          </reference>
        </references>
      </pivotArea>
    </format>
    <format dxfId="389">
      <pivotArea field="0" dataOnly="0" labelOnly="1" grandRow="1" outline="0" axis="axisRow" fieldPosition="0">
        <references count="1">
          <reference field="4294967294" count="1" selected="0">
            <x v="10"/>
          </reference>
        </references>
      </pivotArea>
    </format>
    <format dxfId="388">
      <pivotArea field="0" dataOnly="0" labelOnly="1" grandRow="1" outline="0" axis="axisRow" fieldPosition="0">
        <references count="1">
          <reference field="4294967294" count="1" selected="0">
            <x v="11"/>
          </reference>
        </references>
      </pivotArea>
    </format>
    <format dxfId="387">
      <pivotArea field="0" dataOnly="0" labelOnly="1" grandRow="1" outline="0" axis="axisRow" fieldPosition="0">
        <references count="1">
          <reference field="4294967294" count="1" selected="0">
            <x v="12"/>
          </reference>
        </references>
      </pivotArea>
    </format>
    <format dxfId="386">
      <pivotArea field="0" dataOnly="0" labelOnly="1" grandRow="1" outline="0" axis="axisRow" fieldPosition="0">
        <references count="1">
          <reference field="4294967294" count="1" selected="0">
            <x v="13"/>
          </reference>
        </references>
      </pivotArea>
    </format>
    <format dxfId="385">
      <pivotArea field="0" dataOnly="0" labelOnly="1" grandRow="1" outline="0" axis="axisRow" fieldPosition="0">
        <references count="1">
          <reference field="4294967294" count="1" selected="0">
            <x v="14"/>
          </reference>
        </references>
      </pivotArea>
    </format>
    <format dxfId="384">
      <pivotArea field="0" dataOnly="0" labelOnly="1" grandRow="1" outline="0" axis="axisRow" fieldPosition="0">
        <references count="1">
          <reference field="4294967294" count="1" selected="0">
            <x v="15"/>
          </reference>
        </references>
      </pivotArea>
    </format>
    <format dxfId="383">
      <pivotArea field="0" dataOnly="0" labelOnly="1" grandRow="1" outline="0" axis="axisRow" fieldPosition="0">
        <references count="1">
          <reference field="4294967294" count="1" selected="0">
            <x v="16"/>
          </reference>
        </references>
      </pivotArea>
    </format>
    <format dxfId="382">
      <pivotArea field="0" dataOnly="0" labelOnly="1" grandRow="1" outline="0" axis="axisRow" fieldPosition="0">
        <references count="1">
          <reference field="4294967294" count="1" selected="0">
            <x v="17"/>
          </reference>
        </references>
      </pivotArea>
    </format>
    <format dxfId="381">
      <pivotArea field="0" dataOnly="0" labelOnly="1" grandRow="1" outline="0" axis="axisRow" fieldPosition="0">
        <references count="1">
          <reference field="4294967294" count="1" selected="0">
            <x v="18"/>
          </reference>
        </references>
      </pivotArea>
    </format>
    <format dxfId="380">
      <pivotArea field="0" dataOnly="0" labelOnly="1" grandRow="1" outline="0" axis="axisRow" fieldPosition="0">
        <references count="1">
          <reference field="4294967294" count="1" selected="0">
            <x v="19"/>
          </reference>
        </references>
      </pivotArea>
    </format>
    <format dxfId="379">
      <pivotArea field="0" dataOnly="0" labelOnly="1" grandRow="1" outline="0" axis="axisRow" fieldPosition="0">
        <references count="1">
          <reference field="4294967294" count="1" selected="0">
            <x v="20"/>
          </reference>
        </references>
      </pivotArea>
    </format>
    <format dxfId="378">
      <pivotArea field="0" dataOnly="0" labelOnly="1" grandRow="1" outline="0" axis="axisRow" fieldPosition="0">
        <references count="1">
          <reference field="4294967294" count="1" selected="0">
            <x v="21"/>
          </reference>
        </references>
      </pivotArea>
    </format>
    <format dxfId="377">
      <pivotArea field="0" dataOnly="0" labelOnly="1" grandRow="1" outline="0" axis="axisRow" fieldPosition="0">
        <references count="1">
          <reference field="4294967294" count="1" selected="0">
            <x v="22"/>
          </reference>
        </references>
      </pivotArea>
    </format>
    <format dxfId="376">
      <pivotArea field="0" dataOnly="0" labelOnly="1" grandRow="1" outline="0" axis="axisRow" fieldPosition="0">
        <references count="1">
          <reference field="4294967294" count="1" selected="0">
            <x v="23"/>
          </reference>
        </references>
      </pivotArea>
    </format>
    <format dxfId="375">
      <pivotArea field="0" dataOnly="0" labelOnly="1" grandRow="1" outline="0" axis="axisRow" fieldPosition="0">
        <references count="1">
          <reference field="4294967294" count="1" selected="0">
            <x v="24"/>
          </reference>
        </references>
      </pivotArea>
    </format>
    <format dxfId="374">
      <pivotArea field="0" dataOnly="0" labelOnly="1" grandRow="1" outline="0" axis="axisRow" fieldPosition="0">
        <references count="1">
          <reference field="4294967294" count="1" selected="0">
            <x v="25"/>
          </reference>
        </references>
      </pivotArea>
    </format>
    <format dxfId="373">
      <pivotArea field="0" dataOnly="0" labelOnly="1" grandRow="1" outline="0" axis="axisRow" fieldPosition="0">
        <references count="1">
          <reference field="4294967294" count="1" selected="0">
            <x v="26"/>
          </reference>
        </references>
      </pivotArea>
    </format>
    <format dxfId="372">
      <pivotArea field="0" dataOnly="0" labelOnly="1" grandRow="1" outline="0" axis="axisRow" fieldPosition="0">
        <references count="1">
          <reference field="4294967294" count="1" selected="0">
            <x v="27"/>
          </reference>
        </references>
      </pivotArea>
    </format>
    <format dxfId="371">
      <pivotArea field="0" dataOnly="0" labelOnly="1" grandRow="1" outline="0" axis="axisRow" fieldPosition="0">
        <references count="1">
          <reference field="4294967294" count="1" selected="0">
            <x v="28"/>
          </reference>
        </references>
      </pivotArea>
    </format>
    <format dxfId="370">
      <pivotArea field="0" dataOnly="0" labelOnly="1" grandRow="1" outline="0" axis="axisRow" fieldPosition="0">
        <references count="1">
          <reference field="4294967294" count="1" selected="0">
            <x v="29"/>
          </reference>
        </references>
      </pivotArea>
    </format>
    <format dxfId="369">
      <pivotArea field="0" dataOnly="0" labelOnly="1" grandRow="1" outline="0" axis="axisRow" fieldPosition="0">
        <references count="1">
          <reference field="4294967294" count="1" selected="0">
            <x v="30"/>
          </reference>
        </references>
      </pivotArea>
    </format>
    <format dxfId="368">
      <pivotArea field="0" dataOnly="0" labelOnly="1" grandRow="1" outline="0" axis="axisRow" fieldPosition="0">
        <references count="1">
          <reference field="4294967294" count="1" selected="0">
            <x v="31"/>
          </reference>
        </references>
      </pivotArea>
    </format>
    <format dxfId="367">
      <pivotArea field="0" dataOnly="0" labelOnly="1" grandRow="1" outline="0" axis="axisRow" fieldPosition="0">
        <references count="1">
          <reference field="4294967294" count="1" selected="0">
            <x v="32"/>
          </reference>
        </references>
      </pivotArea>
    </format>
    <format dxfId="366">
      <pivotArea field="0" dataOnly="0" labelOnly="1" grandRow="1" outline="0" axis="axisRow" fieldPosition="0">
        <references count="1">
          <reference field="4294967294" count="1" selected="0">
            <x v="33"/>
          </reference>
        </references>
      </pivotArea>
    </format>
    <format dxfId="365">
      <pivotArea field="0" dataOnly="0" labelOnly="1" grandRow="1" outline="0" axis="axisRow" fieldPosition="0">
        <references count="1">
          <reference field="4294967294" count="1" selected="0">
            <x v="34"/>
          </reference>
        </references>
      </pivotArea>
    </format>
    <format dxfId="364">
      <pivotArea field="0" dataOnly="0" labelOnly="1" grandRow="1" outline="0" axis="axisRow" fieldPosition="0">
        <references count="1">
          <reference field="4294967294" count="1" selected="0">
            <x v="35"/>
          </reference>
        </references>
      </pivotArea>
    </format>
    <format dxfId="363">
      <pivotArea field="0" dataOnly="0" labelOnly="1" grandRow="1" outline="0" axis="axisRow" fieldPosition="0">
        <references count="1">
          <reference field="4294967294" count="1" selected="0">
            <x v="0"/>
          </reference>
        </references>
      </pivotArea>
    </format>
    <format dxfId="362">
      <pivotArea field="0" dataOnly="0" labelOnly="1" grandRow="1" outline="0" axis="axisRow" fieldPosition="0">
        <references count="1">
          <reference field="4294967294" count="1" selected="0">
            <x v="1"/>
          </reference>
        </references>
      </pivotArea>
    </format>
    <format dxfId="361">
      <pivotArea field="0" dataOnly="0" labelOnly="1" grandRow="1" outline="0" axis="axisRow" fieldPosition="0">
        <references count="1">
          <reference field="4294967294" count="1" selected="0">
            <x v="2"/>
          </reference>
        </references>
      </pivotArea>
    </format>
    <format dxfId="360">
      <pivotArea field="0" dataOnly="0" labelOnly="1" grandRow="1" outline="0" axis="axisRow" fieldPosition="0">
        <references count="1">
          <reference field="4294967294" count="1" selected="0">
            <x v="3"/>
          </reference>
        </references>
      </pivotArea>
    </format>
    <format dxfId="359">
      <pivotArea field="0" dataOnly="0" labelOnly="1" grandRow="1" outline="0" axis="axisRow" fieldPosition="0">
        <references count="1">
          <reference field="4294967294" count="1" selected="0">
            <x v="4"/>
          </reference>
        </references>
      </pivotArea>
    </format>
    <format dxfId="358">
      <pivotArea field="0" dataOnly="0" labelOnly="1" grandRow="1" outline="0" axis="axisRow" fieldPosition="0">
        <references count="1">
          <reference field="4294967294" count="1" selected="0">
            <x v="5"/>
          </reference>
        </references>
      </pivotArea>
    </format>
    <format dxfId="357">
      <pivotArea field="0" dataOnly="0" labelOnly="1" grandRow="1" outline="0" axis="axisRow" fieldPosition="0">
        <references count="1">
          <reference field="4294967294" count="1" selected="0">
            <x v="6"/>
          </reference>
        </references>
      </pivotArea>
    </format>
    <format dxfId="356">
      <pivotArea field="0" dataOnly="0" labelOnly="1" grandRow="1" outline="0" axis="axisRow" fieldPosition="0">
        <references count="1">
          <reference field="4294967294" count="1" selected="0">
            <x v="7"/>
          </reference>
        </references>
      </pivotArea>
    </format>
    <format dxfId="355">
      <pivotArea field="0" dataOnly="0" labelOnly="1" grandRow="1" outline="0" axis="axisRow" fieldPosition="0">
        <references count="1">
          <reference field="4294967294" count="1" selected="0">
            <x v="8"/>
          </reference>
        </references>
      </pivotArea>
    </format>
    <format dxfId="354">
      <pivotArea field="0" dataOnly="0" labelOnly="1" grandRow="1" outline="0" axis="axisRow" fieldPosition="0">
        <references count="1">
          <reference field="4294967294" count="1" selected="0">
            <x v="9"/>
          </reference>
        </references>
      </pivotArea>
    </format>
    <format dxfId="353">
      <pivotArea field="0" dataOnly="0" labelOnly="1" grandRow="1" outline="0" axis="axisRow" fieldPosition="0">
        <references count="1">
          <reference field="4294967294" count="1" selected="0">
            <x v="10"/>
          </reference>
        </references>
      </pivotArea>
    </format>
    <format dxfId="352">
      <pivotArea field="0" dataOnly="0" labelOnly="1" grandRow="1" outline="0" axis="axisRow" fieldPosition="0">
        <references count="1">
          <reference field="4294967294" count="1" selected="0">
            <x v="11"/>
          </reference>
        </references>
      </pivotArea>
    </format>
    <format dxfId="351">
      <pivotArea field="0" dataOnly="0" labelOnly="1" grandRow="1" outline="0" axis="axisRow" fieldPosition="0">
        <references count="1">
          <reference field="4294967294" count="1" selected="0">
            <x v="12"/>
          </reference>
        </references>
      </pivotArea>
    </format>
    <format dxfId="350">
      <pivotArea field="0" dataOnly="0" labelOnly="1" grandRow="1" outline="0" axis="axisRow" fieldPosition="0">
        <references count="1">
          <reference field="4294967294" count="1" selected="0">
            <x v="13"/>
          </reference>
        </references>
      </pivotArea>
    </format>
    <format dxfId="349">
      <pivotArea field="0" dataOnly="0" labelOnly="1" grandRow="1" outline="0" axis="axisRow" fieldPosition="0">
        <references count="1">
          <reference field="4294967294" count="1" selected="0">
            <x v="14"/>
          </reference>
        </references>
      </pivotArea>
    </format>
    <format dxfId="348">
      <pivotArea field="0" dataOnly="0" labelOnly="1" grandRow="1" outline="0" axis="axisRow" fieldPosition="0">
        <references count="1">
          <reference field="4294967294" count="1" selected="0">
            <x v="15"/>
          </reference>
        </references>
      </pivotArea>
    </format>
    <format dxfId="347">
      <pivotArea field="0" dataOnly="0" labelOnly="1" grandRow="1" outline="0" axis="axisRow" fieldPosition="0">
        <references count="1">
          <reference field="4294967294" count="1" selected="0">
            <x v="16"/>
          </reference>
        </references>
      </pivotArea>
    </format>
    <format dxfId="346">
      <pivotArea field="0" dataOnly="0" labelOnly="1" grandRow="1" outline="0" axis="axisRow" fieldPosition="0">
        <references count="1">
          <reference field="4294967294" count="1" selected="0">
            <x v="17"/>
          </reference>
        </references>
      </pivotArea>
    </format>
    <format dxfId="345">
      <pivotArea field="0" dataOnly="0" labelOnly="1" grandRow="1" outline="0" axis="axisRow" fieldPosition="0">
        <references count="1">
          <reference field="4294967294" count="1" selected="0">
            <x v="18"/>
          </reference>
        </references>
      </pivotArea>
    </format>
    <format dxfId="344">
      <pivotArea field="0" dataOnly="0" labelOnly="1" grandRow="1" outline="0" axis="axisRow" fieldPosition="0">
        <references count="1">
          <reference field="4294967294" count="1" selected="0">
            <x v="19"/>
          </reference>
        </references>
      </pivotArea>
    </format>
    <format dxfId="343">
      <pivotArea field="0" dataOnly="0" labelOnly="1" grandRow="1" outline="0" axis="axisRow" fieldPosition="0">
        <references count="1">
          <reference field="4294967294" count="1" selected="0">
            <x v="20"/>
          </reference>
        </references>
      </pivotArea>
    </format>
    <format dxfId="342">
      <pivotArea field="0" dataOnly="0" labelOnly="1" grandRow="1" outline="0" axis="axisRow" fieldPosition="0">
        <references count="1">
          <reference field="4294967294" count="1" selected="0">
            <x v="21"/>
          </reference>
        </references>
      </pivotArea>
    </format>
    <format dxfId="341">
      <pivotArea field="0" dataOnly="0" labelOnly="1" grandRow="1" outline="0" axis="axisRow" fieldPosition="0">
        <references count="1">
          <reference field="4294967294" count="1" selected="0">
            <x v="22"/>
          </reference>
        </references>
      </pivotArea>
    </format>
    <format dxfId="340">
      <pivotArea field="0" dataOnly="0" labelOnly="1" grandRow="1" outline="0" axis="axisRow" fieldPosition="0">
        <references count="1">
          <reference field="4294967294" count="1" selected="0">
            <x v="23"/>
          </reference>
        </references>
      </pivotArea>
    </format>
    <format dxfId="339">
      <pivotArea field="0" dataOnly="0" labelOnly="1" grandRow="1" outline="0" axis="axisRow" fieldPosition="0">
        <references count="1">
          <reference field="4294967294" count="1" selected="0">
            <x v="24"/>
          </reference>
        </references>
      </pivotArea>
    </format>
    <format dxfId="338">
      <pivotArea field="0" dataOnly="0" labelOnly="1" grandRow="1" outline="0" axis="axisRow" fieldPosition="0">
        <references count="1">
          <reference field="4294967294" count="1" selected="0">
            <x v="25"/>
          </reference>
        </references>
      </pivotArea>
    </format>
    <format dxfId="337">
      <pivotArea field="0" dataOnly="0" labelOnly="1" grandRow="1" outline="0" axis="axisRow" fieldPosition="0">
        <references count="1">
          <reference field="4294967294" count="1" selected="0">
            <x v="26"/>
          </reference>
        </references>
      </pivotArea>
    </format>
    <format dxfId="336">
      <pivotArea field="0" dataOnly="0" labelOnly="1" grandRow="1" outline="0" axis="axisRow" fieldPosition="0">
        <references count="1">
          <reference field="4294967294" count="1" selected="0">
            <x v="27"/>
          </reference>
        </references>
      </pivotArea>
    </format>
    <format dxfId="335">
      <pivotArea field="0" dataOnly="0" labelOnly="1" grandRow="1" outline="0" axis="axisRow" fieldPosition="0">
        <references count="1">
          <reference field="4294967294" count="1" selected="0">
            <x v="28"/>
          </reference>
        </references>
      </pivotArea>
    </format>
    <format dxfId="334">
      <pivotArea field="0" dataOnly="0" labelOnly="1" grandRow="1" outline="0" axis="axisRow" fieldPosition="0">
        <references count="1">
          <reference field="4294967294" count="1" selected="0">
            <x v="29"/>
          </reference>
        </references>
      </pivotArea>
    </format>
    <format dxfId="333">
      <pivotArea field="0" dataOnly="0" labelOnly="1" grandRow="1" outline="0" axis="axisRow" fieldPosition="0">
        <references count="1">
          <reference field="4294967294" count="1" selected="0">
            <x v="30"/>
          </reference>
        </references>
      </pivotArea>
    </format>
    <format dxfId="332">
      <pivotArea field="0" dataOnly="0" labelOnly="1" grandRow="1" outline="0" axis="axisRow" fieldPosition="0">
        <references count="1">
          <reference field="4294967294" count="1" selected="0">
            <x v="31"/>
          </reference>
        </references>
      </pivotArea>
    </format>
    <format dxfId="331">
      <pivotArea field="0" dataOnly="0" labelOnly="1" grandRow="1" outline="0" axis="axisRow" fieldPosition="0">
        <references count="1">
          <reference field="4294967294" count="1" selected="0">
            <x v="32"/>
          </reference>
        </references>
      </pivotArea>
    </format>
    <format dxfId="330">
      <pivotArea field="0" dataOnly="0" labelOnly="1" grandRow="1" outline="0" axis="axisRow" fieldPosition="0">
        <references count="1">
          <reference field="4294967294" count="1" selected="0">
            <x v="33"/>
          </reference>
        </references>
      </pivotArea>
    </format>
    <format dxfId="329">
      <pivotArea field="0" dataOnly="0" labelOnly="1" grandRow="1" outline="0" axis="axisRow" fieldPosition="0">
        <references count="1">
          <reference field="4294967294" count="1" selected="0">
            <x v="34"/>
          </reference>
        </references>
      </pivotArea>
    </format>
    <format dxfId="328">
      <pivotArea field="0" dataOnly="0" labelOnly="1" grandRow="1" outline="0" axis="axisRow" fieldPosition="0">
        <references count="1">
          <reference field="4294967294" count="1" selected="0">
            <x v="35"/>
          </reference>
        </references>
      </pivotArea>
    </format>
    <format dxfId="327">
      <pivotArea field="0" dataOnly="0" labelOnly="1" grandRow="1" outline="0" axis="axisRow" fieldPosition="0">
        <references count="1">
          <reference field="4294967294" count="1" selected="0">
            <x v="0"/>
          </reference>
        </references>
      </pivotArea>
    </format>
    <format dxfId="326">
      <pivotArea field="0" dataOnly="0" labelOnly="1" grandRow="1" outline="0" axis="axisRow" fieldPosition="0">
        <references count="1">
          <reference field="4294967294" count="1" selected="0">
            <x v="1"/>
          </reference>
        </references>
      </pivotArea>
    </format>
    <format dxfId="325">
      <pivotArea field="0" dataOnly="0" labelOnly="1" grandRow="1" outline="0" axis="axisRow" fieldPosition="0">
        <references count="1">
          <reference field="4294967294" count="1" selected="0">
            <x v="2"/>
          </reference>
        </references>
      </pivotArea>
    </format>
    <format dxfId="324">
      <pivotArea field="0" dataOnly="0" labelOnly="1" grandRow="1" outline="0" axis="axisRow" fieldPosition="0">
        <references count="1">
          <reference field="4294967294" count="1" selected="0">
            <x v="3"/>
          </reference>
        </references>
      </pivotArea>
    </format>
    <format dxfId="323">
      <pivotArea field="0" dataOnly="0" labelOnly="1" grandRow="1" outline="0" axis="axisRow" fieldPosition="0">
        <references count="1">
          <reference field="4294967294" count="1" selected="0">
            <x v="4"/>
          </reference>
        </references>
      </pivotArea>
    </format>
    <format dxfId="322">
      <pivotArea field="0" dataOnly="0" labelOnly="1" grandRow="1" outline="0" axis="axisRow" fieldPosition="0">
        <references count="1">
          <reference field="4294967294" count="1" selected="0">
            <x v="5"/>
          </reference>
        </references>
      </pivotArea>
    </format>
    <format dxfId="321">
      <pivotArea field="0" dataOnly="0" labelOnly="1" grandRow="1" outline="0" axis="axisRow" fieldPosition="0">
        <references count="1">
          <reference field="4294967294" count="1" selected="0">
            <x v="6"/>
          </reference>
        </references>
      </pivotArea>
    </format>
    <format dxfId="320">
      <pivotArea field="0" dataOnly="0" labelOnly="1" grandRow="1" outline="0" axis="axisRow" fieldPosition="0">
        <references count="1">
          <reference field="4294967294" count="1" selected="0">
            <x v="7"/>
          </reference>
        </references>
      </pivotArea>
    </format>
    <format dxfId="319">
      <pivotArea field="0" dataOnly="0" labelOnly="1" grandRow="1" outline="0" axis="axisRow" fieldPosition="0">
        <references count="1">
          <reference field="4294967294" count="1" selected="0">
            <x v="8"/>
          </reference>
        </references>
      </pivotArea>
    </format>
    <format dxfId="318">
      <pivotArea field="0" dataOnly="0" labelOnly="1" grandRow="1" outline="0" axis="axisRow" fieldPosition="0">
        <references count="1">
          <reference field="4294967294" count="1" selected="0">
            <x v="9"/>
          </reference>
        </references>
      </pivotArea>
    </format>
    <format dxfId="317">
      <pivotArea field="0" dataOnly="0" labelOnly="1" grandRow="1" outline="0" axis="axisRow" fieldPosition="0">
        <references count="1">
          <reference field="4294967294" count="1" selected="0">
            <x v="10"/>
          </reference>
        </references>
      </pivotArea>
    </format>
    <format dxfId="316">
      <pivotArea field="0" dataOnly="0" labelOnly="1" grandRow="1" outline="0" axis="axisRow" fieldPosition="0">
        <references count="1">
          <reference field="4294967294" count="1" selected="0">
            <x v="11"/>
          </reference>
        </references>
      </pivotArea>
    </format>
    <format dxfId="315">
      <pivotArea field="0" dataOnly="0" labelOnly="1" grandRow="1" outline="0" axis="axisRow" fieldPosition="0">
        <references count="1">
          <reference field="4294967294" count="1" selected="0">
            <x v="12"/>
          </reference>
        </references>
      </pivotArea>
    </format>
    <format dxfId="314">
      <pivotArea field="0" dataOnly="0" labelOnly="1" grandRow="1" outline="0" axis="axisRow" fieldPosition="0">
        <references count="1">
          <reference field="4294967294" count="1" selected="0">
            <x v="13"/>
          </reference>
        </references>
      </pivotArea>
    </format>
    <format dxfId="313">
      <pivotArea field="0" dataOnly="0" labelOnly="1" grandRow="1" outline="0" axis="axisRow" fieldPosition="0">
        <references count="1">
          <reference field="4294967294" count="1" selected="0">
            <x v="14"/>
          </reference>
        </references>
      </pivotArea>
    </format>
    <format dxfId="312">
      <pivotArea field="0" dataOnly="0" labelOnly="1" grandRow="1" outline="0" axis="axisRow" fieldPosition="0">
        <references count="1">
          <reference field="4294967294" count="1" selected="0">
            <x v="15"/>
          </reference>
        </references>
      </pivotArea>
    </format>
    <format dxfId="311">
      <pivotArea field="0" dataOnly="0" labelOnly="1" grandRow="1" outline="0" axis="axisRow" fieldPosition="0">
        <references count="1">
          <reference field="4294967294" count="1" selected="0">
            <x v="16"/>
          </reference>
        </references>
      </pivotArea>
    </format>
    <format dxfId="310">
      <pivotArea field="0" dataOnly="0" labelOnly="1" grandRow="1" outline="0" axis="axisRow" fieldPosition="0">
        <references count="1">
          <reference field="4294967294" count="1" selected="0">
            <x v="17"/>
          </reference>
        </references>
      </pivotArea>
    </format>
    <format dxfId="309">
      <pivotArea field="0" dataOnly="0" labelOnly="1" grandRow="1" outline="0" axis="axisRow" fieldPosition="0">
        <references count="1">
          <reference field="4294967294" count="1" selected="0">
            <x v="18"/>
          </reference>
        </references>
      </pivotArea>
    </format>
    <format dxfId="308">
      <pivotArea field="0" dataOnly="0" labelOnly="1" grandRow="1" outline="0" axis="axisRow" fieldPosition="0">
        <references count="1">
          <reference field="4294967294" count="1" selected="0">
            <x v="19"/>
          </reference>
        </references>
      </pivotArea>
    </format>
    <format dxfId="307">
      <pivotArea field="0" dataOnly="0" labelOnly="1" grandRow="1" outline="0" axis="axisRow" fieldPosition="0">
        <references count="1">
          <reference field="4294967294" count="1" selected="0">
            <x v="20"/>
          </reference>
        </references>
      </pivotArea>
    </format>
    <format dxfId="306">
      <pivotArea field="0" dataOnly="0" labelOnly="1" grandRow="1" outline="0" axis="axisRow" fieldPosition="0">
        <references count="1">
          <reference field="4294967294" count="1" selected="0">
            <x v="21"/>
          </reference>
        </references>
      </pivotArea>
    </format>
    <format dxfId="305">
      <pivotArea field="0" dataOnly="0" labelOnly="1" grandRow="1" outline="0" axis="axisRow" fieldPosition="0">
        <references count="1">
          <reference field="4294967294" count="1" selected="0">
            <x v="22"/>
          </reference>
        </references>
      </pivotArea>
    </format>
    <format dxfId="304">
      <pivotArea field="0" dataOnly="0" labelOnly="1" grandRow="1" outline="0" axis="axisRow" fieldPosition="0">
        <references count="1">
          <reference field="4294967294" count="1" selected="0">
            <x v="23"/>
          </reference>
        </references>
      </pivotArea>
    </format>
    <format dxfId="303">
      <pivotArea field="0" dataOnly="0" labelOnly="1" grandRow="1" outline="0" axis="axisRow" fieldPosition="0">
        <references count="1">
          <reference field="4294967294" count="1" selected="0">
            <x v="24"/>
          </reference>
        </references>
      </pivotArea>
    </format>
    <format dxfId="302">
      <pivotArea field="0" dataOnly="0" labelOnly="1" grandRow="1" outline="0" axis="axisRow" fieldPosition="0">
        <references count="1">
          <reference field="4294967294" count="1" selected="0">
            <x v="25"/>
          </reference>
        </references>
      </pivotArea>
    </format>
    <format dxfId="301">
      <pivotArea field="0" dataOnly="0" labelOnly="1" grandRow="1" outline="0" axis="axisRow" fieldPosition="0">
        <references count="1">
          <reference field="4294967294" count="1" selected="0">
            <x v="26"/>
          </reference>
        </references>
      </pivotArea>
    </format>
    <format dxfId="300">
      <pivotArea field="0" dataOnly="0" labelOnly="1" grandRow="1" outline="0" axis="axisRow" fieldPosition="0">
        <references count="1">
          <reference field="4294967294" count="1" selected="0">
            <x v="27"/>
          </reference>
        </references>
      </pivotArea>
    </format>
    <format dxfId="299">
      <pivotArea field="0" dataOnly="0" labelOnly="1" grandRow="1" outline="0" axis="axisRow" fieldPosition="0">
        <references count="1">
          <reference field="4294967294" count="1" selected="0">
            <x v="28"/>
          </reference>
        </references>
      </pivotArea>
    </format>
    <format dxfId="298">
      <pivotArea field="0" dataOnly="0" labelOnly="1" grandRow="1" outline="0" axis="axisRow" fieldPosition="0">
        <references count="1">
          <reference field="4294967294" count="1" selected="0">
            <x v="29"/>
          </reference>
        </references>
      </pivotArea>
    </format>
    <format dxfId="297">
      <pivotArea field="0" dataOnly="0" labelOnly="1" grandRow="1" outline="0" axis="axisRow" fieldPosition="0">
        <references count="1">
          <reference field="4294967294" count="1" selected="0">
            <x v="30"/>
          </reference>
        </references>
      </pivotArea>
    </format>
    <format dxfId="296">
      <pivotArea field="0" dataOnly="0" labelOnly="1" grandRow="1" outline="0" axis="axisRow" fieldPosition="0">
        <references count="1">
          <reference field="4294967294" count="1" selected="0">
            <x v="31"/>
          </reference>
        </references>
      </pivotArea>
    </format>
    <format dxfId="295">
      <pivotArea field="0" dataOnly="0" labelOnly="1" grandRow="1" outline="0" axis="axisRow" fieldPosition="0">
        <references count="1">
          <reference field="4294967294" count="1" selected="0">
            <x v="32"/>
          </reference>
        </references>
      </pivotArea>
    </format>
    <format dxfId="294">
      <pivotArea field="0" dataOnly="0" labelOnly="1" grandRow="1" outline="0" axis="axisRow" fieldPosition="0">
        <references count="1">
          <reference field="4294967294" count="1" selected="0">
            <x v="33"/>
          </reference>
        </references>
      </pivotArea>
    </format>
    <format dxfId="293">
      <pivotArea field="0" dataOnly="0" labelOnly="1" grandRow="1" outline="0" axis="axisRow" fieldPosition="0">
        <references count="1">
          <reference field="4294967294" count="1" selected="0">
            <x v="34"/>
          </reference>
        </references>
      </pivotArea>
    </format>
    <format dxfId="292">
      <pivotArea field="0" dataOnly="0" labelOnly="1" grandRow="1" outline="0" axis="axisRow" fieldPosition="0">
        <references count="1">
          <reference field="4294967294" count="1" selected="0">
            <x v="35"/>
          </reference>
        </references>
      </pivotArea>
    </format>
    <format dxfId="291">
      <pivotArea field="0" dataOnly="0" labelOnly="1" grandRow="1" outline="0" axis="axisRow" fieldPosition="0">
        <references count="1">
          <reference field="4294967294" count="1" selected="0">
            <x v="0"/>
          </reference>
        </references>
      </pivotArea>
    </format>
    <format dxfId="290">
      <pivotArea field="0" dataOnly="0" labelOnly="1" grandRow="1" outline="0" axis="axisRow" fieldPosition="0">
        <references count="1">
          <reference field="4294967294" count="1" selected="0">
            <x v="1"/>
          </reference>
        </references>
      </pivotArea>
    </format>
    <format dxfId="289">
      <pivotArea field="0" dataOnly="0" labelOnly="1" grandRow="1" outline="0" axis="axisRow" fieldPosition="0">
        <references count="1">
          <reference field="4294967294" count="1" selected="0">
            <x v="2"/>
          </reference>
        </references>
      </pivotArea>
    </format>
    <format dxfId="288">
      <pivotArea field="0" dataOnly="0" labelOnly="1" grandRow="1" outline="0" axis="axisRow" fieldPosition="0">
        <references count="1">
          <reference field="4294967294" count="1" selected="0">
            <x v="3"/>
          </reference>
        </references>
      </pivotArea>
    </format>
    <format dxfId="287">
      <pivotArea field="0" dataOnly="0" labelOnly="1" grandRow="1" outline="0" axis="axisRow" fieldPosition="0">
        <references count="1">
          <reference field="4294967294" count="1" selected="0">
            <x v="4"/>
          </reference>
        </references>
      </pivotArea>
    </format>
    <format dxfId="286">
      <pivotArea field="0" dataOnly="0" labelOnly="1" grandRow="1" outline="0" axis="axisRow" fieldPosition="0">
        <references count="1">
          <reference field="4294967294" count="1" selected="0">
            <x v="5"/>
          </reference>
        </references>
      </pivotArea>
    </format>
    <format dxfId="285">
      <pivotArea field="0" dataOnly="0" labelOnly="1" grandRow="1" outline="0" axis="axisRow" fieldPosition="0">
        <references count="1">
          <reference field="4294967294" count="1" selected="0">
            <x v="6"/>
          </reference>
        </references>
      </pivotArea>
    </format>
    <format dxfId="284">
      <pivotArea field="0" dataOnly="0" labelOnly="1" grandRow="1" outline="0" axis="axisRow" fieldPosition="0">
        <references count="1">
          <reference field="4294967294" count="1" selected="0">
            <x v="7"/>
          </reference>
        </references>
      </pivotArea>
    </format>
    <format dxfId="283">
      <pivotArea field="0" dataOnly="0" labelOnly="1" grandRow="1" outline="0" axis="axisRow" fieldPosition="0">
        <references count="1">
          <reference field="4294967294" count="1" selected="0">
            <x v="8"/>
          </reference>
        </references>
      </pivotArea>
    </format>
    <format dxfId="282">
      <pivotArea field="0" dataOnly="0" labelOnly="1" grandRow="1" outline="0" axis="axisRow" fieldPosition="0">
        <references count="1">
          <reference field="4294967294" count="1" selected="0">
            <x v="9"/>
          </reference>
        </references>
      </pivotArea>
    </format>
    <format dxfId="281">
      <pivotArea field="0" dataOnly="0" labelOnly="1" grandRow="1" outline="0" axis="axisRow" fieldPosition="0">
        <references count="1">
          <reference field="4294967294" count="1" selected="0">
            <x v="10"/>
          </reference>
        </references>
      </pivotArea>
    </format>
    <format dxfId="280">
      <pivotArea field="0" dataOnly="0" labelOnly="1" grandRow="1" outline="0" axis="axisRow" fieldPosition="0">
        <references count="1">
          <reference field="4294967294" count="1" selected="0">
            <x v="11"/>
          </reference>
        </references>
      </pivotArea>
    </format>
    <format dxfId="279">
      <pivotArea field="0" dataOnly="0" labelOnly="1" grandRow="1" outline="0" axis="axisRow" fieldPosition="0">
        <references count="1">
          <reference field="4294967294" count="1" selected="0">
            <x v="12"/>
          </reference>
        </references>
      </pivotArea>
    </format>
    <format dxfId="278">
      <pivotArea field="0" dataOnly="0" labelOnly="1" grandRow="1" outline="0" axis="axisRow" fieldPosition="0">
        <references count="1">
          <reference field="4294967294" count="1" selected="0">
            <x v="13"/>
          </reference>
        </references>
      </pivotArea>
    </format>
    <format dxfId="277">
      <pivotArea field="0" dataOnly="0" labelOnly="1" grandRow="1" outline="0" axis="axisRow" fieldPosition="0">
        <references count="1">
          <reference field="4294967294" count="1" selected="0">
            <x v="14"/>
          </reference>
        </references>
      </pivotArea>
    </format>
    <format dxfId="276">
      <pivotArea field="0" dataOnly="0" labelOnly="1" grandRow="1" outline="0" axis="axisRow" fieldPosition="0">
        <references count="1">
          <reference field="4294967294" count="1" selected="0">
            <x v="15"/>
          </reference>
        </references>
      </pivotArea>
    </format>
    <format dxfId="275">
      <pivotArea field="0" dataOnly="0" labelOnly="1" grandRow="1" outline="0" axis="axisRow" fieldPosition="0">
        <references count="1">
          <reference field="4294967294" count="1" selected="0">
            <x v="16"/>
          </reference>
        </references>
      </pivotArea>
    </format>
    <format dxfId="274">
      <pivotArea field="0" dataOnly="0" labelOnly="1" grandRow="1" outline="0" axis="axisRow" fieldPosition="0">
        <references count="1">
          <reference field="4294967294" count="1" selected="0">
            <x v="17"/>
          </reference>
        </references>
      </pivotArea>
    </format>
    <format dxfId="273">
      <pivotArea field="0" dataOnly="0" labelOnly="1" grandRow="1" outline="0" axis="axisRow" fieldPosition="0">
        <references count="1">
          <reference field="4294967294" count="1" selected="0">
            <x v="18"/>
          </reference>
        </references>
      </pivotArea>
    </format>
    <format dxfId="272">
      <pivotArea field="0" dataOnly="0" labelOnly="1" grandRow="1" outline="0" axis="axisRow" fieldPosition="0">
        <references count="1">
          <reference field="4294967294" count="1" selected="0">
            <x v="19"/>
          </reference>
        </references>
      </pivotArea>
    </format>
    <format dxfId="271">
      <pivotArea field="0" dataOnly="0" labelOnly="1" grandRow="1" outline="0" axis="axisRow" fieldPosition="0">
        <references count="1">
          <reference field="4294967294" count="1" selected="0">
            <x v="20"/>
          </reference>
        </references>
      </pivotArea>
    </format>
    <format dxfId="270">
      <pivotArea field="0" dataOnly="0" labelOnly="1" grandRow="1" outline="0" axis="axisRow" fieldPosition="0">
        <references count="1">
          <reference field="4294967294" count="1" selected="0">
            <x v="21"/>
          </reference>
        </references>
      </pivotArea>
    </format>
    <format dxfId="269">
      <pivotArea field="0" dataOnly="0" labelOnly="1" grandRow="1" outline="0" axis="axisRow" fieldPosition="0">
        <references count="1">
          <reference field="4294967294" count="1" selected="0">
            <x v="22"/>
          </reference>
        </references>
      </pivotArea>
    </format>
    <format dxfId="268">
      <pivotArea field="0" dataOnly="0" labelOnly="1" grandRow="1" outline="0" axis="axisRow" fieldPosition="0">
        <references count="1">
          <reference field="4294967294" count="1" selected="0">
            <x v="23"/>
          </reference>
        </references>
      </pivotArea>
    </format>
    <format dxfId="267">
      <pivotArea field="0" dataOnly="0" labelOnly="1" grandRow="1" outline="0" axis="axisRow" fieldPosition="0">
        <references count="1">
          <reference field="4294967294" count="1" selected="0">
            <x v="24"/>
          </reference>
        </references>
      </pivotArea>
    </format>
    <format dxfId="266">
      <pivotArea field="0" dataOnly="0" labelOnly="1" grandRow="1" outline="0" axis="axisRow" fieldPosition="0">
        <references count="1">
          <reference field="4294967294" count="1" selected="0">
            <x v="25"/>
          </reference>
        </references>
      </pivotArea>
    </format>
    <format dxfId="265">
      <pivotArea field="0" dataOnly="0" labelOnly="1" grandRow="1" outline="0" axis="axisRow" fieldPosition="0">
        <references count="1">
          <reference field="4294967294" count="1" selected="0">
            <x v="26"/>
          </reference>
        </references>
      </pivotArea>
    </format>
    <format dxfId="264">
      <pivotArea field="0" dataOnly="0" labelOnly="1" grandRow="1" outline="0" axis="axisRow" fieldPosition="0">
        <references count="1">
          <reference field="4294967294" count="1" selected="0">
            <x v="27"/>
          </reference>
        </references>
      </pivotArea>
    </format>
    <format dxfId="263">
      <pivotArea field="0" dataOnly="0" labelOnly="1" grandRow="1" outline="0" axis="axisRow" fieldPosition="0">
        <references count="1">
          <reference field="4294967294" count="1" selected="0">
            <x v="28"/>
          </reference>
        </references>
      </pivotArea>
    </format>
    <format dxfId="262">
      <pivotArea field="0" dataOnly="0" labelOnly="1" grandRow="1" outline="0" axis="axisRow" fieldPosition="0">
        <references count="1">
          <reference field="4294967294" count="1" selected="0">
            <x v="29"/>
          </reference>
        </references>
      </pivotArea>
    </format>
    <format dxfId="261">
      <pivotArea field="0" dataOnly="0" labelOnly="1" grandRow="1" outline="0" axis="axisRow" fieldPosition="0">
        <references count="1">
          <reference field="4294967294" count="1" selected="0">
            <x v="30"/>
          </reference>
        </references>
      </pivotArea>
    </format>
    <format dxfId="260">
      <pivotArea field="0" dataOnly="0" labelOnly="1" grandRow="1" outline="0" axis="axisRow" fieldPosition="0">
        <references count="1">
          <reference field="4294967294" count="1" selected="0">
            <x v="31"/>
          </reference>
        </references>
      </pivotArea>
    </format>
    <format dxfId="259">
      <pivotArea field="0" dataOnly="0" labelOnly="1" grandRow="1" outline="0" axis="axisRow" fieldPosition="0">
        <references count="1">
          <reference field="4294967294" count="1" selected="0">
            <x v="32"/>
          </reference>
        </references>
      </pivotArea>
    </format>
    <format dxfId="258">
      <pivotArea field="0" dataOnly="0" labelOnly="1" grandRow="1" outline="0" axis="axisRow" fieldPosition="0">
        <references count="1">
          <reference field="4294967294" count="1" selected="0">
            <x v="33"/>
          </reference>
        </references>
      </pivotArea>
    </format>
    <format dxfId="257">
      <pivotArea field="0" dataOnly="0" labelOnly="1" grandRow="1" outline="0" axis="axisRow" fieldPosition="0">
        <references count="1">
          <reference field="4294967294" count="1" selected="0">
            <x v="34"/>
          </reference>
        </references>
      </pivotArea>
    </format>
    <format dxfId="256">
      <pivotArea field="0" dataOnly="0" labelOnly="1" grandRow="1" outline="0" axis="axisRow" fieldPosition="0">
        <references count="1">
          <reference field="4294967294" count="1" selected="0">
            <x v="35"/>
          </reference>
        </references>
      </pivotArea>
    </format>
    <format dxfId="255">
      <pivotArea field="0" dataOnly="0" labelOnly="1" grandRow="1" outline="0" axis="axisRow" fieldPosition="0">
        <references count="1">
          <reference field="4294967294" count="1" selected="0">
            <x v="0"/>
          </reference>
        </references>
      </pivotArea>
    </format>
    <format dxfId="254">
      <pivotArea field="0" dataOnly="0" labelOnly="1" grandRow="1" outline="0" axis="axisRow" fieldPosition="0">
        <references count="1">
          <reference field="4294967294" count="1" selected="0">
            <x v="1"/>
          </reference>
        </references>
      </pivotArea>
    </format>
    <format dxfId="253">
      <pivotArea field="0" dataOnly="0" labelOnly="1" grandRow="1" outline="0" axis="axisRow" fieldPosition="0">
        <references count="1">
          <reference field="4294967294" count="1" selected="0">
            <x v="2"/>
          </reference>
        </references>
      </pivotArea>
    </format>
    <format dxfId="252">
      <pivotArea field="0" dataOnly="0" labelOnly="1" grandRow="1" outline="0" axis="axisRow" fieldPosition="0">
        <references count="1">
          <reference field="4294967294" count="1" selected="0">
            <x v="3"/>
          </reference>
        </references>
      </pivotArea>
    </format>
    <format dxfId="251">
      <pivotArea field="0" dataOnly="0" labelOnly="1" grandRow="1" outline="0" axis="axisRow" fieldPosition="0">
        <references count="1">
          <reference field="4294967294" count="1" selected="0">
            <x v="4"/>
          </reference>
        </references>
      </pivotArea>
    </format>
    <format dxfId="250">
      <pivotArea field="0" dataOnly="0" labelOnly="1" grandRow="1" outline="0" axis="axisRow" fieldPosition="0">
        <references count="1">
          <reference field="4294967294" count="1" selected="0">
            <x v="5"/>
          </reference>
        </references>
      </pivotArea>
    </format>
    <format dxfId="249">
      <pivotArea field="0" dataOnly="0" labelOnly="1" grandRow="1" outline="0" axis="axisRow" fieldPosition="0">
        <references count="1">
          <reference field="4294967294" count="1" selected="0">
            <x v="6"/>
          </reference>
        </references>
      </pivotArea>
    </format>
    <format dxfId="248">
      <pivotArea field="0" dataOnly="0" labelOnly="1" grandRow="1" outline="0" axis="axisRow" fieldPosition="0">
        <references count="1">
          <reference field="4294967294" count="1" selected="0">
            <x v="7"/>
          </reference>
        </references>
      </pivotArea>
    </format>
    <format dxfId="247">
      <pivotArea field="0" dataOnly="0" labelOnly="1" grandRow="1" outline="0" axis="axisRow" fieldPosition="0">
        <references count="1">
          <reference field="4294967294" count="1" selected="0">
            <x v="8"/>
          </reference>
        </references>
      </pivotArea>
    </format>
    <format dxfId="246">
      <pivotArea field="0" dataOnly="0" labelOnly="1" grandRow="1" outline="0" axis="axisRow" fieldPosition="0">
        <references count="1">
          <reference field="4294967294" count="1" selected="0">
            <x v="9"/>
          </reference>
        </references>
      </pivotArea>
    </format>
    <format dxfId="245">
      <pivotArea field="0" dataOnly="0" labelOnly="1" grandRow="1" outline="0" axis="axisRow" fieldPosition="0">
        <references count="1">
          <reference field="4294967294" count="1" selected="0">
            <x v="10"/>
          </reference>
        </references>
      </pivotArea>
    </format>
    <format dxfId="244">
      <pivotArea field="0" dataOnly="0" labelOnly="1" grandRow="1" outline="0" axis="axisRow" fieldPosition="0">
        <references count="1">
          <reference field="4294967294" count="1" selected="0">
            <x v="11"/>
          </reference>
        </references>
      </pivotArea>
    </format>
    <format dxfId="243">
      <pivotArea field="0" dataOnly="0" labelOnly="1" grandRow="1" outline="0" axis="axisRow" fieldPosition="0">
        <references count="1">
          <reference field="4294967294" count="1" selected="0">
            <x v="12"/>
          </reference>
        </references>
      </pivotArea>
    </format>
    <format dxfId="242">
      <pivotArea field="0" dataOnly="0" labelOnly="1" grandRow="1" outline="0" axis="axisRow" fieldPosition="0">
        <references count="1">
          <reference field="4294967294" count="1" selected="0">
            <x v="13"/>
          </reference>
        </references>
      </pivotArea>
    </format>
    <format dxfId="241">
      <pivotArea field="0" dataOnly="0" labelOnly="1" grandRow="1" outline="0" axis="axisRow" fieldPosition="0">
        <references count="1">
          <reference field="4294967294" count="1" selected="0">
            <x v="14"/>
          </reference>
        </references>
      </pivotArea>
    </format>
    <format dxfId="240">
      <pivotArea field="0" dataOnly="0" labelOnly="1" grandRow="1" outline="0" axis="axisRow" fieldPosition="0">
        <references count="1">
          <reference field="4294967294" count="1" selected="0">
            <x v="15"/>
          </reference>
        </references>
      </pivotArea>
    </format>
    <format dxfId="239">
      <pivotArea field="0" dataOnly="0" labelOnly="1" grandRow="1" outline="0" axis="axisRow" fieldPosition="0">
        <references count="1">
          <reference field="4294967294" count="1" selected="0">
            <x v="16"/>
          </reference>
        </references>
      </pivotArea>
    </format>
    <format dxfId="238">
      <pivotArea field="0" dataOnly="0" labelOnly="1" grandRow="1" outline="0" axis="axisRow" fieldPosition="0">
        <references count="1">
          <reference field="4294967294" count="1" selected="0">
            <x v="17"/>
          </reference>
        </references>
      </pivotArea>
    </format>
    <format dxfId="237">
      <pivotArea field="0" dataOnly="0" labelOnly="1" grandRow="1" outline="0" axis="axisRow" fieldPosition="0">
        <references count="1">
          <reference field="4294967294" count="1" selected="0">
            <x v="18"/>
          </reference>
        </references>
      </pivotArea>
    </format>
    <format dxfId="236">
      <pivotArea field="0" dataOnly="0" labelOnly="1" grandRow="1" outline="0" axis="axisRow" fieldPosition="0">
        <references count="1">
          <reference field="4294967294" count="1" selected="0">
            <x v="19"/>
          </reference>
        </references>
      </pivotArea>
    </format>
    <format dxfId="235">
      <pivotArea field="0" dataOnly="0" labelOnly="1" grandRow="1" outline="0" axis="axisRow" fieldPosition="0">
        <references count="1">
          <reference field="4294967294" count="1" selected="0">
            <x v="20"/>
          </reference>
        </references>
      </pivotArea>
    </format>
    <format dxfId="234">
      <pivotArea field="0" dataOnly="0" labelOnly="1" grandRow="1" outline="0" axis="axisRow" fieldPosition="0">
        <references count="1">
          <reference field="4294967294" count="1" selected="0">
            <x v="21"/>
          </reference>
        </references>
      </pivotArea>
    </format>
    <format dxfId="233">
      <pivotArea field="0" dataOnly="0" labelOnly="1" grandRow="1" outline="0" axis="axisRow" fieldPosition="0">
        <references count="1">
          <reference field="4294967294" count="1" selected="0">
            <x v="22"/>
          </reference>
        </references>
      </pivotArea>
    </format>
    <format dxfId="232">
      <pivotArea field="0" dataOnly="0" labelOnly="1" grandRow="1" outline="0" axis="axisRow" fieldPosition="0">
        <references count="1">
          <reference field="4294967294" count="1" selected="0">
            <x v="23"/>
          </reference>
        </references>
      </pivotArea>
    </format>
    <format dxfId="231">
      <pivotArea field="0" dataOnly="0" labelOnly="1" grandRow="1" outline="0" axis="axisRow" fieldPosition="0">
        <references count="1">
          <reference field="4294967294" count="1" selected="0">
            <x v="24"/>
          </reference>
        </references>
      </pivotArea>
    </format>
    <format dxfId="230">
      <pivotArea field="0" dataOnly="0" labelOnly="1" grandRow="1" outline="0" axis="axisRow" fieldPosition="0">
        <references count="1">
          <reference field="4294967294" count="1" selected="0">
            <x v="25"/>
          </reference>
        </references>
      </pivotArea>
    </format>
    <format dxfId="229">
      <pivotArea field="0" dataOnly="0" labelOnly="1" grandRow="1" outline="0" axis="axisRow" fieldPosition="0">
        <references count="1">
          <reference field="4294967294" count="1" selected="0">
            <x v="26"/>
          </reference>
        </references>
      </pivotArea>
    </format>
    <format dxfId="228">
      <pivotArea field="0" dataOnly="0" labelOnly="1" grandRow="1" outline="0" axis="axisRow" fieldPosition="0">
        <references count="1">
          <reference field="4294967294" count="1" selected="0">
            <x v="27"/>
          </reference>
        </references>
      </pivotArea>
    </format>
    <format dxfId="227">
      <pivotArea field="0" dataOnly="0" labelOnly="1" grandRow="1" outline="0" axis="axisRow" fieldPosition="0">
        <references count="1">
          <reference field="4294967294" count="1" selected="0">
            <x v="28"/>
          </reference>
        </references>
      </pivotArea>
    </format>
    <format dxfId="226">
      <pivotArea field="0" dataOnly="0" labelOnly="1" grandRow="1" outline="0" axis="axisRow" fieldPosition="0">
        <references count="1">
          <reference field="4294967294" count="1" selected="0">
            <x v="29"/>
          </reference>
        </references>
      </pivotArea>
    </format>
    <format dxfId="225">
      <pivotArea field="0" dataOnly="0" labelOnly="1" grandRow="1" outline="0" axis="axisRow" fieldPosition="0">
        <references count="1">
          <reference field="4294967294" count="1" selected="0">
            <x v="30"/>
          </reference>
        </references>
      </pivotArea>
    </format>
    <format dxfId="224">
      <pivotArea field="0" dataOnly="0" labelOnly="1" grandRow="1" outline="0" axis="axisRow" fieldPosition="0">
        <references count="1">
          <reference field="4294967294" count="1" selected="0">
            <x v="31"/>
          </reference>
        </references>
      </pivotArea>
    </format>
    <format dxfId="223">
      <pivotArea field="0" dataOnly="0" labelOnly="1" grandRow="1" outline="0" axis="axisRow" fieldPosition="0">
        <references count="1">
          <reference field="4294967294" count="1" selected="0">
            <x v="32"/>
          </reference>
        </references>
      </pivotArea>
    </format>
    <format dxfId="222">
      <pivotArea field="0" dataOnly="0" labelOnly="1" grandRow="1" outline="0" axis="axisRow" fieldPosition="0">
        <references count="1">
          <reference field="4294967294" count="1" selected="0">
            <x v="33"/>
          </reference>
        </references>
      </pivotArea>
    </format>
    <format dxfId="221">
      <pivotArea field="0" dataOnly="0" labelOnly="1" grandRow="1" outline="0" axis="axisRow" fieldPosition="0">
        <references count="1">
          <reference field="4294967294" count="1" selected="0">
            <x v="34"/>
          </reference>
        </references>
      </pivotArea>
    </format>
    <format dxfId="220">
      <pivotArea field="0" dataOnly="0" labelOnly="1" grandRow="1" outline="0" axis="axisRow" fieldPosition="0">
        <references count="1">
          <reference field="4294967294" count="1" selected="0">
            <x v="35"/>
          </reference>
        </references>
      </pivotArea>
    </format>
    <format dxfId="219">
      <pivotArea field="0" dataOnly="0" labelOnly="1" grandRow="1" outline="0" axis="axisRow" fieldPosition="0">
        <references count="1">
          <reference field="4294967294" count="1" selected="0">
            <x v="0"/>
          </reference>
        </references>
      </pivotArea>
    </format>
    <format dxfId="218">
      <pivotArea field="0" dataOnly="0" labelOnly="1" grandRow="1" outline="0" axis="axisRow" fieldPosition="0">
        <references count="1">
          <reference field="4294967294" count="1" selected="0">
            <x v="1"/>
          </reference>
        </references>
      </pivotArea>
    </format>
    <format dxfId="217">
      <pivotArea field="0" dataOnly="0" labelOnly="1" grandRow="1" outline="0" axis="axisRow" fieldPosition="0">
        <references count="1">
          <reference field="4294967294" count="1" selected="0">
            <x v="2"/>
          </reference>
        </references>
      </pivotArea>
    </format>
    <format dxfId="216">
      <pivotArea field="0" dataOnly="0" labelOnly="1" grandRow="1" outline="0" axis="axisRow" fieldPosition="0">
        <references count="1">
          <reference field="4294967294" count="1" selected="0">
            <x v="3"/>
          </reference>
        </references>
      </pivotArea>
    </format>
    <format dxfId="215">
      <pivotArea field="0" dataOnly="0" labelOnly="1" grandRow="1" outline="0" axis="axisRow" fieldPosition="0">
        <references count="1">
          <reference field="4294967294" count="1" selected="0">
            <x v="4"/>
          </reference>
        </references>
      </pivotArea>
    </format>
    <format dxfId="214">
      <pivotArea field="0" dataOnly="0" labelOnly="1" grandRow="1" outline="0" axis="axisRow" fieldPosition="0">
        <references count="1">
          <reference field="4294967294" count="1" selected="0">
            <x v="5"/>
          </reference>
        </references>
      </pivotArea>
    </format>
    <format dxfId="213">
      <pivotArea field="0" dataOnly="0" labelOnly="1" grandRow="1" outline="0" axis="axisRow" fieldPosition="0">
        <references count="1">
          <reference field="4294967294" count="1" selected="0">
            <x v="6"/>
          </reference>
        </references>
      </pivotArea>
    </format>
    <format dxfId="212">
      <pivotArea field="0" dataOnly="0" labelOnly="1" grandRow="1" outline="0" axis="axisRow" fieldPosition="0">
        <references count="1">
          <reference field="4294967294" count="1" selected="0">
            <x v="7"/>
          </reference>
        </references>
      </pivotArea>
    </format>
    <format dxfId="211">
      <pivotArea field="0" dataOnly="0" labelOnly="1" grandRow="1" outline="0" axis="axisRow" fieldPosition="0">
        <references count="1">
          <reference field="4294967294" count="1" selected="0">
            <x v="8"/>
          </reference>
        </references>
      </pivotArea>
    </format>
    <format dxfId="210">
      <pivotArea field="0" dataOnly="0" labelOnly="1" grandRow="1" outline="0" axis="axisRow" fieldPosition="0">
        <references count="1">
          <reference field="4294967294" count="1" selected="0">
            <x v="9"/>
          </reference>
        </references>
      </pivotArea>
    </format>
    <format dxfId="209">
      <pivotArea field="0" dataOnly="0" labelOnly="1" grandRow="1" outline="0" axis="axisRow" fieldPosition="0">
        <references count="1">
          <reference field="4294967294" count="1" selected="0">
            <x v="10"/>
          </reference>
        </references>
      </pivotArea>
    </format>
    <format dxfId="208">
      <pivotArea field="0" dataOnly="0" labelOnly="1" grandRow="1" outline="0" axis="axisRow" fieldPosition="0">
        <references count="1">
          <reference field="4294967294" count="1" selected="0">
            <x v="11"/>
          </reference>
        </references>
      </pivotArea>
    </format>
    <format dxfId="207">
      <pivotArea field="0" dataOnly="0" labelOnly="1" grandRow="1" outline="0" axis="axisRow" fieldPosition="0">
        <references count="1">
          <reference field="4294967294" count="1" selected="0">
            <x v="12"/>
          </reference>
        </references>
      </pivotArea>
    </format>
    <format dxfId="206">
      <pivotArea field="0" dataOnly="0" labelOnly="1" grandRow="1" outline="0" axis="axisRow" fieldPosition="0">
        <references count="1">
          <reference field="4294967294" count="1" selected="0">
            <x v="13"/>
          </reference>
        </references>
      </pivotArea>
    </format>
    <format dxfId="205">
      <pivotArea field="0" dataOnly="0" labelOnly="1" grandRow="1" outline="0" axis="axisRow" fieldPosition="0">
        <references count="1">
          <reference field="4294967294" count="1" selected="0">
            <x v="14"/>
          </reference>
        </references>
      </pivotArea>
    </format>
    <format dxfId="204">
      <pivotArea field="0" dataOnly="0" labelOnly="1" grandRow="1" outline="0" axis="axisRow" fieldPosition="0">
        <references count="1">
          <reference field="4294967294" count="1" selected="0">
            <x v="15"/>
          </reference>
        </references>
      </pivotArea>
    </format>
    <format dxfId="203">
      <pivotArea field="0" dataOnly="0" labelOnly="1" grandRow="1" outline="0" axis="axisRow" fieldPosition="0">
        <references count="1">
          <reference field="4294967294" count="1" selected="0">
            <x v="16"/>
          </reference>
        </references>
      </pivotArea>
    </format>
    <format dxfId="202">
      <pivotArea field="0" dataOnly="0" labelOnly="1" grandRow="1" outline="0" axis="axisRow" fieldPosition="0">
        <references count="1">
          <reference field="4294967294" count="1" selected="0">
            <x v="17"/>
          </reference>
        </references>
      </pivotArea>
    </format>
    <format dxfId="201">
      <pivotArea field="0" dataOnly="0" labelOnly="1" grandRow="1" outline="0" axis="axisRow" fieldPosition="0">
        <references count="1">
          <reference field="4294967294" count="1" selected="0">
            <x v="18"/>
          </reference>
        </references>
      </pivotArea>
    </format>
    <format dxfId="200">
      <pivotArea field="0" dataOnly="0" labelOnly="1" grandRow="1" outline="0" axis="axisRow" fieldPosition="0">
        <references count="1">
          <reference field="4294967294" count="1" selected="0">
            <x v="19"/>
          </reference>
        </references>
      </pivotArea>
    </format>
    <format dxfId="199">
      <pivotArea field="0" dataOnly="0" labelOnly="1" grandRow="1" outline="0" axis="axisRow" fieldPosition="0">
        <references count="1">
          <reference field="4294967294" count="1" selected="0">
            <x v="20"/>
          </reference>
        </references>
      </pivotArea>
    </format>
    <format dxfId="198">
      <pivotArea field="0" dataOnly="0" labelOnly="1" grandRow="1" outline="0" axis="axisRow" fieldPosition="0">
        <references count="1">
          <reference field="4294967294" count="1" selected="0">
            <x v="21"/>
          </reference>
        </references>
      </pivotArea>
    </format>
    <format dxfId="197">
      <pivotArea field="0" dataOnly="0" labelOnly="1" grandRow="1" outline="0" axis="axisRow" fieldPosition="0">
        <references count="1">
          <reference field="4294967294" count="1" selected="0">
            <x v="22"/>
          </reference>
        </references>
      </pivotArea>
    </format>
    <format dxfId="196">
      <pivotArea field="0" dataOnly="0" labelOnly="1" grandRow="1" outline="0" axis="axisRow" fieldPosition="0">
        <references count="1">
          <reference field="4294967294" count="1" selected="0">
            <x v="23"/>
          </reference>
        </references>
      </pivotArea>
    </format>
    <format dxfId="195">
      <pivotArea field="0" dataOnly="0" labelOnly="1" grandRow="1" outline="0" axis="axisRow" fieldPosition="0">
        <references count="1">
          <reference field="4294967294" count="1" selected="0">
            <x v="24"/>
          </reference>
        </references>
      </pivotArea>
    </format>
    <format dxfId="194">
      <pivotArea field="0" dataOnly="0" labelOnly="1" grandRow="1" outline="0" axis="axisRow" fieldPosition="0">
        <references count="1">
          <reference field="4294967294" count="1" selected="0">
            <x v="25"/>
          </reference>
        </references>
      </pivotArea>
    </format>
    <format dxfId="193">
      <pivotArea field="0" dataOnly="0" labelOnly="1" grandRow="1" outline="0" axis="axisRow" fieldPosition="0">
        <references count="1">
          <reference field="4294967294" count="1" selected="0">
            <x v="26"/>
          </reference>
        </references>
      </pivotArea>
    </format>
    <format dxfId="192">
      <pivotArea field="0" dataOnly="0" labelOnly="1" grandRow="1" outline="0" axis="axisRow" fieldPosition="0">
        <references count="1">
          <reference field="4294967294" count="1" selected="0">
            <x v="27"/>
          </reference>
        </references>
      </pivotArea>
    </format>
    <format dxfId="191">
      <pivotArea field="0" dataOnly="0" labelOnly="1" grandRow="1" outline="0" axis="axisRow" fieldPosition="0">
        <references count="1">
          <reference field="4294967294" count="1" selected="0">
            <x v="28"/>
          </reference>
        </references>
      </pivotArea>
    </format>
    <format dxfId="190">
      <pivotArea field="0" dataOnly="0" labelOnly="1" grandRow="1" outline="0" axis="axisRow" fieldPosition="0">
        <references count="1">
          <reference field="4294967294" count="1" selected="0">
            <x v="29"/>
          </reference>
        </references>
      </pivotArea>
    </format>
    <format dxfId="189">
      <pivotArea field="0" dataOnly="0" labelOnly="1" grandRow="1" outline="0" axis="axisRow" fieldPosition="0">
        <references count="1">
          <reference field="4294967294" count="1" selected="0">
            <x v="30"/>
          </reference>
        </references>
      </pivotArea>
    </format>
    <format dxfId="188">
      <pivotArea field="0" dataOnly="0" labelOnly="1" grandRow="1" outline="0" axis="axisRow" fieldPosition="0">
        <references count="1">
          <reference field="4294967294" count="1" selected="0">
            <x v="31"/>
          </reference>
        </references>
      </pivotArea>
    </format>
    <format dxfId="187">
      <pivotArea field="0" dataOnly="0" labelOnly="1" grandRow="1" outline="0" axis="axisRow" fieldPosition="0">
        <references count="1">
          <reference field="4294967294" count="1" selected="0">
            <x v="32"/>
          </reference>
        </references>
      </pivotArea>
    </format>
    <format dxfId="186">
      <pivotArea field="0" dataOnly="0" labelOnly="1" grandRow="1" outline="0" axis="axisRow" fieldPosition="0">
        <references count="1">
          <reference field="4294967294" count="1" selected="0">
            <x v="33"/>
          </reference>
        </references>
      </pivotArea>
    </format>
    <format dxfId="185">
      <pivotArea field="0" dataOnly="0" labelOnly="1" grandRow="1" outline="0" axis="axisRow" fieldPosition="0">
        <references count="1">
          <reference field="4294967294" count="1" selected="0">
            <x v="34"/>
          </reference>
        </references>
      </pivotArea>
    </format>
    <format dxfId="184">
      <pivotArea field="0" dataOnly="0" labelOnly="1" grandRow="1" outline="0" axis="axisRow" fieldPosition="0">
        <references count="1">
          <reference field="4294967294" count="1" selected="0">
            <x v="35"/>
          </reference>
        </references>
      </pivotArea>
    </format>
    <format dxfId="183">
      <pivotArea field="0" dataOnly="0" labelOnly="1" grandRow="1" outline="0" axis="axisRow" fieldPosition="0">
        <references count="1">
          <reference field="4294967294" count="1" selected="0">
            <x v="35"/>
          </reference>
        </references>
      </pivotArea>
    </format>
    <format dxfId="18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18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18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17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17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17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17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17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7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17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17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17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17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16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16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16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166">
      <pivotArea dataOnly="0" labelOnly="1" outline="0" fieldPosition="0">
        <references count="1">
          <reference field="70" count="0"/>
        </references>
      </pivotArea>
    </format>
    <format dxfId="165">
      <pivotArea dataOnly="0" labelOnly="1" outline="0" fieldPosition="0">
        <references count="1">
          <reference field="70" count="0" defaultSubtotal="1"/>
        </references>
      </pivotArea>
    </format>
    <format dxfId="164">
      <pivotArea dataOnly="0" labelOnly="1" grandCol="1" outline="0" fieldPosition="0"/>
    </format>
    <format dxfId="163">
      <pivotArea dataOnly="0" labelOnly="1" outline="0" fieldPosition="0">
        <references count="2">
          <reference field="4" count="7">
            <x v="0"/>
            <x v="1"/>
            <x v="2"/>
            <x v="3"/>
            <x v="4"/>
            <x v="5"/>
            <x v="6"/>
          </reference>
          <reference field="70" count="1" selected="0">
            <x v="0"/>
          </reference>
        </references>
      </pivotArea>
    </format>
    <format dxfId="162">
      <pivotArea dataOnly="0" labelOnly="1" outline="0" fieldPosition="0">
        <references count="2">
          <reference field="4" count="4">
            <x v="7"/>
            <x v="8"/>
            <x v="9"/>
            <x v="10"/>
          </reference>
          <reference field="70" count="1" selected="0">
            <x v="1"/>
          </reference>
        </references>
      </pivotArea>
    </format>
    <format dxfId="161">
      <pivotArea dataOnly="0" labelOnly="1" outline="0" fieldPosition="0">
        <references count="2">
          <reference field="4" count="2">
            <x v="11"/>
            <x v="12"/>
          </reference>
          <reference field="70" count="1" selected="0">
            <x v="2"/>
          </reference>
        </references>
      </pivotArea>
    </format>
    <format dxfId="160">
      <pivotArea dataOnly="0" labelOnly="1" outline="0" fieldPosition="0">
        <references count="2">
          <reference field="4" count="1">
            <x v="16"/>
          </reference>
          <reference field="70" count="1" selected="0">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3B6D76-339B-4CAC-8DC9-7D919456D826}" name="PivotTable2" cacheId="28" dataOnRows="1" applyNumberFormats="0" applyBorderFormats="0" applyFontFormats="0" applyPatternFormats="0" applyAlignmentFormats="0" applyWidthHeightFormats="1" dataCaption="Data" updatedVersion="8" asteriskTotals="1" showMemberPropertyTips="0" useAutoFormatting="1" rowGrandTotals="0" colGrandTotals="0" itemPrintTitles="1" createdVersion="1" indent="0" compact="0" compactData="0" gridDropZones="1">
  <location ref="A3:V133"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7">
        <item x="0"/>
        <item x="1"/>
        <item x="2"/>
        <item x="3"/>
        <item x="4"/>
        <item x="5"/>
        <item x="11"/>
        <item m="1" x="16"/>
        <item x="14"/>
        <item m="1" x="15"/>
        <item x="13"/>
        <item x="6"/>
        <item x="7"/>
        <item x="8"/>
        <item x="9"/>
        <item x="10"/>
        <item x="12"/>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8">
        <item n="Four-Year" x="3"/>
        <item x="2"/>
        <item x="1"/>
        <item n="Two-Year" x="4"/>
        <item n="Techncial" x="5"/>
        <item x="0"/>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70"/>
    <field x="4"/>
  </colFields>
  <colItems count="20">
    <i>
      <x/>
      <x/>
    </i>
    <i r="1">
      <x v="1"/>
    </i>
    <i r="1">
      <x v="2"/>
    </i>
    <i r="1">
      <x v="3"/>
    </i>
    <i r="1">
      <x v="4"/>
    </i>
    <i r="1">
      <x v="5"/>
    </i>
    <i r="1">
      <x v="6"/>
    </i>
    <i t="default">
      <x/>
    </i>
    <i>
      <x v="2"/>
      <x v="8"/>
    </i>
    <i t="default">
      <x v="2"/>
    </i>
    <i>
      <x v="3"/>
      <x v="10"/>
    </i>
    <i r="1">
      <x v="11"/>
    </i>
    <i r="1">
      <x v="12"/>
    </i>
    <i r="1">
      <x v="13"/>
    </i>
    <i t="default">
      <x v="3"/>
    </i>
    <i>
      <x v="4"/>
      <x v="14"/>
    </i>
    <i r="1">
      <x v="15"/>
    </i>
    <i t="default">
      <x v="4"/>
    </i>
    <i>
      <x v="6"/>
      <x v="16"/>
    </i>
    <i t="default">
      <x v="6"/>
    </i>
  </colItems>
  <dataFields count="8">
    <dataField name="Sum of OLD-Tot UG SCH Calc" fld="5" baseField="0" baseItem="0"/>
    <dataField name="Sum of NEW-Tot UG SCH Calc" fld="6" baseField="0" baseItem="0"/>
    <dataField name="Sum of Old UG E-Learning" fld="63" baseField="0" baseItem="0"/>
    <dataField name="Sum of New UG E-Learning" fld="65" baseField="0" baseItem="0"/>
    <dataField name="Sum of Old-Tot G SCH Calc" fld="19" baseField="0" baseItem="0"/>
    <dataField name="Sum of New-Tot G SCH Calc" fld="20" baseField="0" baseItem="0"/>
    <dataField name="Sum of Old G E-Learning" fld="64" baseField="0" baseItem="0"/>
    <dataField name="Sum of New G E-Learning" fld="66" baseField="0" baseItem="0"/>
  </dataFields>
  <formats count="147">
    <format dxfId="159">
      <pivotArea field="4" type="button" dataOnly="0" labelOnly="1" outline="0" axis="axisCol" fieldPosition="1"/>
    </format>
    <format dxfId="158">
      <pivotArea type="topRight" dataOnly="0" labelOnly="1" outline="0" fieldPosition="0"/>
    </format>
    <format dxfId="157">
      <pivotArea dataOnly="0" labelOnly="1" grandCol="1" outline="0" fieldPosition="0"/>
    </format>
    <format dxfId="156">
      <pivotArea dataOnly="0" labelOnly="1" outline="0" offset="IV256" fieldPosition="0">
        <references count="1">
          <reference field="0" count="1">
            <x v="3"/>
          </reference>
        </references>
      </pivotArea>
    </format>
    <format dxfId="155">
      <pivotArea dataOnly="0" labelOnly="1" outline="0" offset="IV256" fieldPosition="0">
        <references count="1">
          <reference field="0" count="1">
            <x v="4"/>
          </reference>
        </references>
      </pivotArea>
    </format>
    <format dxfId="154">
      <pivotArea dataOnly="0" labelOnly="1" outline="0" offset="IV256" fieldPosition="0">
        <references count="1">
          <reference field="0" count="1">
            <x v="5"/>
          </reference>
        </references>
      </pivotArea>
    </format>
    <format dxfId="153">
      <pivotArea dataOnly="0" labelOnly="1" outline="0" offset="IV256" fieldPosition="0">
        <references count="1">
          <reference field="0" count="1">
            <x v="7"/>
          </reference>
        </references>
      </pivotArea>
    </format>
    <format dxfId="152">
      <pivotArea dataOnly="0" labelOnly="1" outline="0" offset="IV256" fieldPosition="0">
        <references count="1">
          <reference field="0" count="1">
            <x v="8"/>
          </reference>
        </references>
      </pivotArea>
    </format>
    <format dxfId="151">
      <pivotArea dataOnly="0" labelOnly="1" outline="0" offset="IV256" fieldPosition="0">
        <references count="1">
          <reference field="0" count="1">
            <x v="9"/>
          </reference>
        </references>
      </pivotArea>
    </format>
    <format dxfId="150">
      <pivotArea dataOnly="0" labelOnly="1" outline="0" offset="IV256" fieldPosition="0">
        <references count="1">
          <reference field="0" count="1">
            <x v="10"/>
          </reference>
        </references>
      </pivotArea>
    </format>
    <format dxfId="149">
      <pivotArea dataOnly="0" labelOnly="1" outline="0" offset="IV256" fieldPosition="0">
        <references count="1">
          <reference field="0" count="1">
            <x v="11"/>
          </reference>
        </references>
      </pivotArea>
    </format>
    <format dxfId="148">
      <pivotArea dataOnly="0" labelOnly="1" outline="0" offset="IV256" fieldPosition="0">
        <references count="1">
          <reference field="0" count="1">
            <x v="12"/>
          </reference>
        </references>
      </pivotArea>
    </format>
    <format dxfId="147">
      <pivotArea dataOnly="0" labelOnly="1" outline="0" offset="IV256" fieldPosition="0">
        <references count="1">
          <reference field="0" count="1">
            <x v="13"/>
          </reference>
        </references>
      </pivotArea>
    </format>
    <format dxfId="146">
      <pivotArea type="origin" dataOnly="0" labelOnly="1" outline="0" offset="A2:B2" fieldPosition="0"/>
    </format>
    <format dxfId="145">
      <pivotArea dataOnly="0" labelOnly="1" outline="0" fieldPosition="0">
        <references count="1">
          <reference field="0" count="0"/>
        </references>
      </pivotArea>
    </format>
    <format dxfId="144">
      <pivotArea dataOnly="0" labelOnly="1" outline="0" offset="IV1" fieldPosition="0">
        <references count="1">
          <reference field="0" count="1">
            <x v="0"/>
          </reference>
        </references>
      </pivotArea>
    </format>
    <format dxfId="143">
      <pivotArea type="origin" dataOnly="0" labelOnly="1" outline="0" fieldPosition="0"/>
    </format>
    <format dxfId="142">
      <pivotArea field="0" type="button" dataOnly="0" labelOnly="1" outline="0" axis="axisRow" fieldPosition="0"/>
    </format>
    <format dxfId="141">
      <pivotArea dataOnly="0" labelOnly="1" outline="0" offset="IV5:IV6" fieldPosition="0">
        <references count="1">
          <reference field="0" count="1">
            <x v="1"/>
          </reference>
        </references>
      </pivotArea>
    </format>
    <format dxfId="140">
      <pivotArea dataOnly="0" labelOnly="1" outline="0" offset="IV7:IV8" fieldPosition="0">
        <references count="1">
          <reference field="0" count="1">
            <x v="1"/>
          </reference>
        </references>
      </pivotArea>
    </format>
    <format dxfId="139">
      <pivotArea dataOnly="0" labelOnly="1" outline="0" offset="IV9:IV10" fieldPosition="0">
        <references count="1">
          <reference field="0" count="1">
            <x v="1"/>
          </reference>
        </references>
      </pivotArea>
    </format>
    <format dxfId="138">
      <pivotArea dataOnly="0" labelOnly="1" outline="0" offset="IV11:IV12" fieldPosition="0">
        <references count="1">
          <reference field="0" count="1">
            <x v="1"/>
          </reference>
        </references>
      </pivotArea>
    </format>
    <format dxfId="137">
      <pivotArea dataOnly="0" labelOnly="1" outline="0" offset="IV256" fieldPosition="0">
        <references count="1">
          <reference field="0" count="1">
            <x v="0"/>
          </reference>
        </references>
      </pivotArea>
    </format>
    <format dxfId="136">
      <pivotArea dataOnly="0" labelOnly="1" grandCol="1" outline="0" offset="IV256" fieldPosition="0"/>
    </format>
    <format dxfId="135">
      <pivotArea dataOnly="0" labelOnly="1" outline="0" offset="IV256" fieldPosition="0">
        <references count="1">
          <reference field="0" count="1">
            <x v="1"/>
          </reference>
        </references>
      </pivotArea>
    </format>
    <format dxfId="134">
      <pivotArea dataOnly="0" labelOnly="1" outline="0" offset="IV1" fieldPosition="0">
        <references count="1">
          <reference field="0" count="1">
            <x v="0"/>
          </reference>
        </references>
      </pivotArea>
    </format>
    <format dxfId="133">
      <pivotArea dataOnly="0" labelOnly="1" outline="0" offset="IV1" fieldPosition="0">
        <references count="1">
          <reference field="0" count="1">
            <x v="1"/>
          </reference>
        </references>
      </pivotArea>
    </format>
    <format dxfId="132">
      <pivotArea dataOnly="0" labelOnly="1" outline="0" offset="IV1" fieldPosition="0">
        <references count="1">
          <reference field="0" count="1">
            <x v="3"/>
          </reference>
        </references>
      </pivotArea>
    </format>
    <format dxfId="131">
      <pivotArea dataOnly="0" labelOnly="1" outline="0" offset="IV1" fieldPosition="0">
        <references count="1">
          <reference field="0" count="1">
            <x v="4"/>
          </reference>
        </references>
      </pivotArea>
    </format>
    <format dxfId="130">
      <pivotArea dataOnly="0" labelOnly="1" outline="0" offset="IV256" fieldPosition="0">
        <references count="1">
          <reference field="0" count="1">
            <x v="15"/>
          </reference>
        </references>
      </pivotArea>
    </format>
    <format dxfId="129">
      <pivotArea outline="0" fieldPosition="0">
        <references count="1">
          <reference field="0" count="1" selected="0">
            <x v="0"/>
          </reference>
        </references>
      </pivotArea>
    </format>
    <format dxfId="128">
      <pivotArea dataOnly="0" labelOnly="1" outline="0" fieldPosition="0">
        <references count="1">
          <reference field="0" count="1">
            <x v="0"/>
          </reference>
        </references>
      </pivotArea>
    </format>
    <format dxfId="127">
      <pivotArea dataOnly="0" labelOnly="1" outline="0" fieldPosition="0">
        <references count="2">
          <reference field="4294967294" count="0"/>
          <reference field="0" count="1" selected="0">
            <x v="0"/>
          </reference>
        </references>
      </pivotArea>
    </format>
    <format dxfId="126">
      <pivotArea type="all" dataOnly="0" outline="0" fieldPosition="0"/>
    </format>
    <format dxfId="125">
      <pivotArea outline="0" fieldPosition="0"/>
    </format>
    <format dxfId="124">
      <pivotArea outline="0" fieldPosition="0">
        <references count="2">
          <reference field="4294967294" count="1" selected="0">
            <x v="0"/>
          </reference>
          <reference field="0" count="1" selected="0">
            <x v="4"/>
          </reference>
        </references>
      </pivotArea>
    </format>
    <format dxfId="123">
      <pivotArea outline="0" fieldPosition="0">
        <references count="2">
          <reference field="4294967294" count="1" selected="0">
            <x v="0"/>
          </reference>
          <reference field="0" count="1" selected="0">
            <x v="5"/>
          </reference>
        </references>
      </pivotArea>
    </format>
    <format dxfId="122">
      <pivotArea outline="0" fieldPosition="0">
        <references count="2">
          <reference field="4294967294" count="1" selected="0">
            <x v="0"/>
          </reference>
          <reference field="0" count="1" selected="0">
            <x v="7"/>
          </reference>
        </references>
      </pivotArea>
    </format>
    <format dxfId="121">
      <pivotArea outline="0" fieldPosition="0">
        <references count="2">
          <reference field="4294967294" count="1" selected="0">
            <x v="1"/>
          </reference>
          <reference field="0" count="1" selected="0">
            <x v="4"/>
          </reference>
        </references>
      </pivotArea>
    </format>
    <format dxfId="120">
      <pivotArea outline="0" fieldPosition="0">
        <references count="2">
          <reference field="4294967294" count="1" selected="0">
            <x v="1"/>
          </reference>
          <reference field="0" count="1" selected="0">
            <x v="5"/>
          </reference>
        </references>
      </pivotArea>
    </format>
    <format dxfId="119">
      <pivotArea outline="0" fieldPosition="0">
        <references count="2">
          <reference field="4294967294" count="1" selected="0">
            <x v="2"/>
          </reference>
          <reference field="0" count="1" selected="0">
            <x v="4"/>
          </reference>
        </references>
      </pivotArea>
    </format>
    <format dxfId="118">
      <pivotArea outline="0" fieldPosition="0">
        <references count="2">
          <reference field="4294967294" count="1" selected="0">
            <x v="2"/>
          </reference>
          <reference field="0" count="1" selected="0">
            <x v="5"/>
          </reference>
        </references>
      </pivotArea>
    </format>
    <format dxfId="117">
      <pivotArea outline="0" fieldPosition="0">
        <references count="2">
          <reference field="4294967294" count="1" selected="0">
            <x v="2"/>
          </reference>
          <reference field="0" count="1" selected="0">
            <x v="7"/>
          </reference>
        </references>
      </pivotArea>
    </format>
    <format dxfId="116">
      <pivotArea outline="0" fieldPosition="0">
        <references count="2">
          <reference field="4294967294" count="1" selected="0">
            <x v="3"/>
          </reference>
          <reference field="0" count="1" selected="0">
            <x v="5"/>
          </reference>
        </references>
      </pivotArea>
    </format>
    <format dxfId="115">
      <pivotArea outline="0" fieldPosition="0">
        <references count="2">
          <reference field="4294967294" count="1" selected="0">
            <x v="3"/>
          </reference>
          <reference field="0" count="1" selected="0">
            <x v="4"/>
          </reference>
        </references>
      </pivotArea>
    </format>
    <format dxfId="114">
      <pivotArea outline="0" fieldPosition="0">
        <references count="1">
          <reference field="0" count="1" selected="0">
            <x v="0"/>
          </reference>
        </references>
      </pivotArea>
    </format>
    <format dxfId="113">
      <pivotArea dataOnly="0" labelOnly="1" outline="0" fieldPosition="0">
        <references count="1">
          <reference field="0" count="1">
            <x v="0"/>
          </reference>
        </references>
      </pivotArea>
    </format>
    <format dxfId="112">
      <pivotArea dataOnly="0" labelOnly="1" outline="0" fieldPosition="0">
        <references count="2">
          <reference field="4294967294" count="0"/>
          <reference field="0" count="1" selected="0">
            <x v="0"/>
          </reference>
        </references>
      </pivotArea>
    </format>
    <format dxfId="111">
      <pivotArea outline="0" fieldPosition="0">
        <references count="1">
          <reference field="0" count="1" selected="0">
            <x v="15"/>
          </reference>
        </references>
      </pivotArea>
    </format>
    <format dxfId="110">
      <pivotArea dataOnly="0" labelOnly="1" outline="0" fieldPosition="0">
        <references count="1">
          <reference field="0" count="1">
            <x v="15"/>
          </reference>
        </references>
      </pivotArea>
    </format>
    <format dxfId="109">
      <pivotArea dataOnly="0" labelOnly="1" outline="0" fieldPosition="0">
        <references count="2">
          <reference field="4294967294" count="0"/>
          <reference field="0" count="1" selected="0">
            <x v="15"/>
          </reference>
        </references>
      </pivotArea>
    </format>
    <format dxfId="108">
      <pivotArea outline="0" fieldPosition="0">
        <references count="1">
          <reference field="0" count="1" selected="0">
            <x v="12"/>
          </reference>
        </references>
      </pivotArea>
    </format>
    <format dxfId="107">
      <pivotArea dataOnly="0" labelOnly="1" outline="0" fieldPosition="0">
        <references count="1">
          <reference field="0" count="1">
            <x v="12"/>
          </reference>
        </references>
      </pivotArea>
    </format>
    <format dxfId="106">
      <pivotArea dataOnly="0" labelOnly="1" outline="0" fieldPosition="0">
        <references count="2">
          <reference field="4294967294" count="0"/>
          <reference field="0" count="1" selected="0">
            <x v="12"/>
          </reference>
        </references>
      </pivotArea>
    </format>
    <format dxfId="105">
      <pivotArea outline="0" fieldPosition="0"/>
    </format>
    <format dxfId="104">
      <pivotArea field="-2" type="button" dataOnly="0" labelOnly="1" outline="0" axis="axisRow" fieldPosition="1"/>
    </format>
    <format dxfId="103">
      <pivotArea field="4" type="button" dataOnly="0" labelOnly="1" outline="0" axis="axisCol" fieldPosition="1"/>
    </format>
    <format dxfId="102">
      <pivotArea type="topRight" dataOnly="0" labelOnly="1" outline="0" fieldPosition="0"/>
    </format>
    <format dxfId="101">
      <pivotArea dataOnly="0" labelOnly="1" outline="0" fieldPosition="0">
        <references count="2">
          <reference field="4294967294" count="8">
            <x v="0"/>
            <x v="1"/>
            <x v="2"/>
            <x v="3"/>
            <x v="4"/>
            <x v="5"/>
            <x v="6"/>
            <x v="7"/>
          </reference>
          <reference field="0" count="1" selected="0">
            <x v="0"/>
          </reference>
        </references>
      </pivotArea>
    </format>
    <format dxfId="100">
      <pivotArea dataOnly="0" labelOnly="1" outline="0" fieldPosition="0">
        <references count="2">
          <reference field="4294967294" count="8">
            <x v="0"/>
            <x v="1"/>
            <x v="2"/>
            <x v="3"/>
            <x v="4"/>
            <x v="5"/>
            <x v="6"/>
            <x v="7"/>
          </reference>
          <reference field="0" count="1" selected="0">
            <x v="1"/>
          </reference>
        </references>
      </pivotArea>
    </format>
    <format dxfId="99">
      <pivotArea dataOnly="0" labelOnly="1" outline="0" fieldPosition="0">
        <references count="2">
          <reference field="4294967294" count="8">
            <x v="0"/>
            <x v="1"/>
            <x v="2"/>
            <x v="3"/>
            <x v="4"/>
            <x v="5"/>
            <x v="6"/>
            <x v="7"/>
          </reference>
          <reference field="0" count="1" selected="0">
            <x v="3"/>
          </reference>
        </references>
      </pivotArea>
    </format>
    <format dxfId="98">
      <pivotArea dataOnly="0" labelOnly="1" outline="0" fieldPosition="0">
        <references count="2">
          <reference field="4294967294" count="8">
            <x v="0"/>
            <x v="1"/>
            <x v="2"/>
            <x v="3"/>
            <x v="4"/>
            <x v="5"/>
            <x v="6"/>
            <x v="7"/>
          </reference>
          <reference field="0" count="1" selected="0">
            <x v="4"/>
          </reference>
        </references>
      </pivotArea>
    </format>
    <format dxfId="97">
      <pivotArea dataOnly="0" labelOnly="1" outline="0" fieldPosition="0">
        <references count="2">
          <reference field="4294967294" count="8">
            <x v="0"/>
            <x v="1"/>
            <x v="2"/>
            <x v="3"/>
            <x v="4"/>
            <x v="5"/>
            <x v="6"/>
            <x v="7"/>
          </reference>
          <reference field="0" count="1" selected="0">
            <x v="5"/>
          </reference>
        </references>
      </pivotArea>
    </format>
    <format dxfId="96">
      <pivotArea dataOnly="0" labelOnly="1" outline="0" fieldPosition="0">
        <references count="2">
          <reference field="4294967294" count="8">
            <x v="0"/>
            <x v="1"/>
            <x v="2"/>
            <x v="3"/>
            <x v="4"/>
            <x v="5"/>
            <x v="6"/>
            <x v="7"/>
          </reference>
          <reference field="0" count="1" selected="0">
            <x v="7"/>
          </reference>
        </references>
      </pivotArea>
    </format>
    <format dxfId="95">
      <pivotArea dataOnly="0" labelOnly="1" outline="0" fieldPosition="0">
        <references count="2">
          <reference field="4294967294" count="8">
            <x v="0"/>
            <x v="1"/>
            <x v="2"/>
            <x v="3"/>
            <x v="4"/>
            <x v="5"/>
            <x v="6"/>
            <x v="7"/>
          </reference>
          <reference field="0" count="1" selected="0">
            <x v="8"/>
          </reference>
        </references>
      </pivotArea>
    </format>
    <format dxfId="94">
      <pivotArea dataOnly="0" labelOnly="1" outline="0" fieldPosition="0">
        <references count="2">
          <reference field="4294967294" count="8">
            <x v="0"/>
            <x v="1"/>
            <x v="2"/>
            <x v="3"/>
            <x v="4"/>
            <x v="5"/>
            <x v="6"/>
            <x v="7"/>
          </reference>
          <reference field="0" count="1" selected="0">
            <x v="9"/>
          </reference>
        </references>
      </pivotArea>
    </format>
    <format dxfId="93">
      <pivotArea dataOnly="0" labelOnly="1" outline="0" fieldPosition="0">
        <references count="2">
          <reference field="4294967294" count="8">
            <x v="0"/>
            <x v="1"/>
            <x v="2"/>
            <x v="3"/>
            <x v="4"/>
            <x v="5"/>
            <x v="6"/>
            <x v="7"/>
          </reference>
          <reference field="0" count="1" selected="0">
            <x v="10"/>
          </reference>
        </references>
      </pivotArea>
    </format>
    <format dxfId="92">
      <pivotArea dataOnly="0" labelOnly="1" outline="0" fieldPosition="0">
        <references count="2">
          <reference field="4294967294" count="8">
            <x v="0"/>
            <x v="1"/>
            <x v="2"/>
            <x v="3"/>
            <x v="4"/>
            <x v="5"/>
            <x v="6"/>
            <x v="7"/>
          </reference>
          <reference field="0" count="1" selected="0">
            <x v="11"/>
          </reference>
        </references>
      </pivotArea>
    </format>
    <format dxfId="91">
      <pivotArea dataOnly="0" labelOnly="1" outline="0" fieldPosition="0">
        <references count="2">
          <reference field="4294967294" count="8">
            <x v="0"/>
            <x v="1"/>
            <x v="2"/>
            <x v="3"/>
            <x v="4"/>
            <x v="5"/>
            <x v="6"/>
            <x v="7"/>
          </reference>
          <reference field="0" count="1" selected="0">
            <x v="12"/>
          </reference>
        </references>
      </pivotArea>
    </format>
    <format dxfId="90">
      <pivotArea dataOnly="0" labelOnly="1" outline="0" fieldPosition="0">
        <references count="2">
          <reference field="4294967294" count="8">
            <x v="0"/>
            <x v="1"/>
            <x v="2"/>
            <x v="3"/>
            <x v="4"/>
            <x v="5"/>
            <x v="6"/>
            <x v="7"/>
          </reference>
          <reference field="0" count="1" selected="0">
            <x v="13"/>
          </reference>
        </references>
      </pivotArea>
    </format>
    <format dxfId="89">
      <pivotArea dataOnly="0" labelOnly="1" outline="0" fieldPosition="0">
        <references count="2">
          <reference field="4294967294" count="8">
            <x v="0"/>
            <x v="1"/>
            <x v="2"/>
            <x v="3"/>
            <x v="4"/>
            <x v="5"/>
            <x v="6"/>
            <x v="7"/>
          </reference>
          <reference field="0" count="1" selected="0">
            <x v="15"/>
          </reference>
        </references>
      </pivotArea>
    </format>
    <format dxfId="88">
      <pivotArea outline="0" fieldPosition="0"/>
    </format>
    <format dxfId="87">
      <pivotArea field="-2" type="button" dataOnly="0" labelOnly="1" outline="0" axis="axisRow" fieldPosition="1"/>
    </format>
    <format dxfId="86">
      <pivotArea field="4" type="button" dataOnly="0" labelOnly="1" outline="0" axis="axisCol" fieldPosition="1"/>
    </format>
    <format dxfId="85">
      <pivotArea type="topRight" dataOnly="0" labelOnly="1" outline="0" fieldPosition="0"/>
    </format>
    <format dxfId="84">
      <pivotArea dataOnly="0" labelOnly="1" outline="0" fieldPosition="0">
        <references count="2">
          <reference field="4294967294" count="8">
            <x v="0"/>
            <x v="1"/>
            <x v="2"/>
            <x v="3"/>
            <x v="4"/>
            <x v="5"/>
            <x v="6"/>
            <x v="7"/>
          </reference>
          <reference field="0" count="1" selected="0">
            <x v="0"/>
          </reference>
        </references>
      </pivotArea>
    </format>
    <format dxfId="83">
      <pivotArea dataOnly="0" labelOnly="1" outline="0" fieldPosition="0">
        <references count="2">
          <reference field="4294967294" count="8">
            <x v="0"/>
            <x v="1"/>
            <x v="2"/>
            <x v="3"/>
            <x v="4"/>
            <x v="5"/>
            <x v="6"/>
            <x v="7"/>
          </reference>
          <reference field="0" count="1" selected="0">
            <x v="1"/>
          </reference>
        </references>
      </pivotArea>
    </format>
    <format dxfId="82">
      <pivotArea dataOnly="0" labelOnly="1" outline="0" fieldPosition="0">
        <references count="2">
          <reference field="4294967294" count="8">
            <x v="0"/>
            <x v="1"/>
            <x v="2"/>
            <x v="3"/>
            <x v="4"/>
            <x v="5"/>
            <x v="6"/>
            <x v="7"/>
          </reference>
          <reference field="0" count="1" selected="0">
            <x v="3"/>
          </reference>
        </references>
      </pivotArea>
    </format>
    <format dxfId="81">
      <pivotArea dataOnly="0" labelOnly="1" outline="0" fieldPosition="0">
        <references count="2">
          <reference field="4294967294" count="8">
            <x v="0"/>
            <x v="1"/>
            <x v="2"/>
            <x v="3"/>
            <x v="4"/>
            <x v="5"/>
            <x v="6"/>
            <x v="7"/>
          </reference>
          <reference field="0" count="1" selected="0">
            <x v="4"/>
          </reference>
        </references>
      </pivotArea>
    </format>
    <format dxfId="80">
      <pivotArea dataOnly="0" labelOnly="1" outline="0" fieldPosition="0">
        <references count="2">
          <reference field="4294967294" count="8">
            <x v="0"/>
            <x v="1"/>
            <x v="2"/>
            <x v="3"/>
            <x v="4"/>
            <x v="5"/>
            <x v="6"/>
            <x v="7"/>
          </reference>
          <reference field="0" count="1" selected="0">
            <x v="5"/>
          </reference>
        </references>
      </pivotArea>
    </format>
    <format dxfId="79">
      <pivotArea dataOnly="0" labelOnly="1" outline="0" fieldPosition="0">
        <references count="2">
          <reference field="4294967294" count="8">
            <x v="0"/>
            <x v="1"/>
            <x v="2"/>
            <x v="3"/>
            <x v="4"/>
            <x v="5"/>
            <x v="6"/>
            <x v="7"/>
          </reference>
          <reference field="0" count="1" selected="0">
            <x v="7"/>
          </reference>
        </references>
      </pivotArea>
    </format>
    <format dxfId="78">
      <pivotArea dataOnly="0" labelOnly="1" outline="0" fieldPosition="0">
        <references count="2">
          <reference field="4294967294" count="8">
            <x v="0"/>
            <x v="1"/>
            <x v="2"/>
            <x v="3"/>
            <x v="4"/>
            <x v="5"/>
            <x v="6"/>
            <x v="7"/>
          </reference>
          <reference field="0" count="1" selected="0">
            <x v="8"/>
          </reference>
        </references>
      </pivotArea>
    </format>
    <format dxfId="77">
      <pivotArea dataOnly="0" labelOnly="1" outline="0" fieldPosition="0">
        <references count="2">
          <reference field="4294967294" count="8">
            <x v="0"/>
            <x v="1"/>
            <x v="2"/>
            <x v="3"/>
            <x v="4"/>
            <x v="5"/>
            <x v="6"/>
            <x v="7"/>
          </reference>
          <reference field="0" count="1" selected="0">
            <x v="9"/>
          </reference>
        </references>
      </pivotArea>
    </format>
    <format dxfId="76">
      <pivotArea dataOnly="0" labelOnly="1" outline="0" fieldPosition="0">
        <references count="2">
          <reference field="4294967294" count="8">
            <x v="0"/>
            <x v="1"/>
            <x v="2"/>
            <x v="3"/>
            <x v="4"/>
            <x v="5"/>
            <x v="6"/>
            <x v="7"/>
          </reference>
          <reference field="0" count="1" selected="0">
            <x v="10"/>
          </reference>
        </references>
      </pivotArea>
    </format>
    <format dxfId="75">
      <pivotArea dataOnly="0" labelOnly="1" outline="0" fieldPosition="0">
        <references count="2">
          <reference field="4294967294" count="8">
            <x v="0"/>
            <x v="1"/>
            <x v="2"/>
            <x v="3"/>
            <x v="4"/>
            <x v="5"/>
            <x v="6"/>
            <x v="7"/>
          </reference>
          <reference field="0" count="1" selected="0">
            <x v="11"/>
          </reference>
        </references>
      </pivotArea>
    </format>
    <format dxfId="74">
      <pivotArea dataOnly="0" labelOnly="1" outline="0" fieldPosition="0">
        <references count="2">
          <reference field="4294967294" count="8">
            <x v="0"/>
            <x v="1"/>
            <x v="2"/>
            <x v="3"/>
            <x v="4"/>
            <x v="5"/>
            <x v="6"/>
            <x v="7"/>
          </reference>
          <reference field="0" count="1" selected="0">
            <x v="12"/>
          </reference>
        </references>
      </pivotArea>
    </format>
    <format dxfId="73">
      <pivotArea dataOnly="0" labelOnly="1" outline="0" fieldPosition="0">
        <references count="2">
          <reference field="4294967294" count="8">
            <x v="0"/>
            <x v="1"/>
            <x v="2"/>
            <x v="3"/>
            <x v="4"/>
            <x v="5"/>
            <x v="6"/>
            <x v="7"/>
          </reference>
          <reference field="0" count="1" selected="0">
            <x v="13"/>
          </reference>
        </references>
      </pivotArea>
    </format>
    <format dxfId="72">
      <pivotArea dataOnly="0" labelOnly="1" outline="0" fieldPosition="0">
        <references count="2">
          <reference field="4294967294" count="8">
            <x v="0"/>
            <x v="1"/>
            <x v="2"/>
            <x v="3"/>
            <x v="4"/>
            <x v="5"/>
            <x v="6"/>
            <x v="7"/>
          </reference>
          <reference field="0" count="1" selected="0">
            <x v="15"/>
          </reference>
        </references>
      </pivotArea>
    </format>
    <format dxfId="71">
      <pivotArea type="all" dataOnly="0" outline="0" fieldPosition="0"/>
    </format>
    <format dxfId="70">
      <pivotArea type="all" dataOnly="0" outline="0" fieldPosition="0"/>
    </format>
    <format dxfId="69">
      <pivotArea outline="0" fieldPosition="0"/>
    </format>
    <format dxfId="68">
      <pivotArea dataOnly="0" labelOnly="1" outline="0" fieldPosition="0">
        <references count="1">
          <reference field="0" count="0"/>
        </references>
      </pivotArea>
    </format>
    <format dxfId="67">
      <pivotArea dataOnly="0" labelOnly="1" outline="0" fieldPosition="0">
        <references count="2">
          <reference field="4294967294" count="8">
            <x v="0"/>
            <x v="1"/>
            <x v="2"/>
            <x v="3"/>
            <x v="4"/>
            <x v="5"/>
            <x v="6"/>
            <x v="7"/>
          </reference>
          <reference field="0" count="1" selected="0">
            <x v="0"/>
          </reference>
        </references>
      </pivotArea>
    </format>
    <format dxfId="66">
      <pivotArea dataOnly="0" labelOnly="1" outline="0" fieldPosition="0">
        <references count="2">
          <reference field="4294967294" count="8">
            <x v="0"/>
            <x v="1"/>
            <x v="2"/>
            <x v="3"/>
            <x v="4"/>
            <x v="5"/>
            <x v="6"/>
            <x v="7"/>
          </reference>
          <reference field="0" count="1" selected="0">
            <x v="1"/>
          </reference>
        </references>
      </pivotArea>
    </format>
    <format dxfId="65">
      <pivotArea dataOnly="0" labelOnly="1" outline="0" fieldPosition="0">
        <references count="2">
          <reference field="4294967294" count="8">
            <x v="0"/>
            <x v="1"/>
            <x v="2"/>
            <x v="3"/>
            <x v="4"/>
            <x v="5"/>
            <x v="6"/>
            <x v="7"/>
          </reference>
          <reference field="0" count="1" selected="0">
            <x v="2"/>
          </reference>
        </references>
      </pivotArea>
    </format>
    <format dxfId="64">
      <pivotArea dataOnly="0" labelOnly="1" outline="0" fieldPosition="0">
        <references count="2">
          <reference field="4294967294" count="8">
            <x v="0"/>
            <x v="1"/>
            <x v="2"/>
            <x v="3"/>
            <x v="4"/>
            <x v="5"/>
            <x v="6"/>
            <x v="7"/>
          </reference>
          <reference field="0" count="1" selected="0">
            <x v="3"/>
          </reference>
        </references>
      </pivotArea>
    </format>
    <format dxfId="63">
      <pivotArea dataOnly="0" labelOnly="1" outline="0" fieldPosition="0">
        <references count="2">
          <reference field="4294967294" count="8">
            <x v="0"/>
            <x v="1"/>
            <x v="2"/>
            <x v="3"/>
            <x v="4"/>
            <x v="5"/>
            <x v="6"/>
            <x v="7"/>
          </reference>
          <reference field="0" count="1" selected="0">
            <x v="4"/>
          </reference>
        </references>
      </pivotArea>
    </format>
    <format dxfId="62">
      <pivotArea dataOnly="0" labelOnly="1" outline="0" fieldPosition="0">
        <references count="2">
          <reference field="4294967294" count="8">
            <x v="0"/>
            <x v="1"/>
            <x v="2"/>
            <x v="3"/>
            <x v="4"/>
            <x v="5"/>
            <x v="6"/>
            <x v="7"/>
          </reference>
          <reference field="0" count="1" selected="0">
            <x v="5"/>
          </reference>
        </references>
      </pivotArea>
    </format>
    <format dxfId="61">
      <pivotArea dataOnly="0" labelOnly="1" outline="0" fieldPosition="0">
        <references count="2">
          <reference field="4294967294" count="8">
            <x v="0"/>
            <x v="1"/>
            <x v="2"/>
            <x v="3"/>
            <x v="4"/>
            <x v="5"/>
            <x v="6"/>
            <x v="7"/>
          </reference>
          <reference field="0" count="1" selected="0">
            <x v="6"/>
          </reference>
        </references>
      </pivotArea>
    </format>
    <format dxfId="60">
      <pivotArea dataOnly="0" labelOnly="1" outline="0" fieldPosition="0">
        <references count="2">
          <reference field="4294967294" count="8">
            <x v="0"/>
            <x v="1"/>
            <x v="2"/>
            <x v="3"/>
            <x v="4"/>
            <x v="5"/>
            <x v="6"/>
            <x v="7"/>
          </reference>
          <reference field="0" count="1" selected="0">
            <x v="7"/>
          </reference>
        </references>
      </pivotArea>
    </format>
    <format dxfId="59">
      <pivotArea dataOnly="0" labelOnly="1" outline="0" fieldPosition="0">
        <references count="2">
          <reference field="4294967294" count="8">
            <x v="0"/>
            <x v="1"/>
            <x v="2"/>
            <x v="3"/>
            <x v="4"/>
            <x v="5"/>
            <x v="6"/>
            <x v="7"/>
          </reference>
          <reference field="0" count="1" selected="0">
            <x v="8"/>
          </reference>
        </references>
      </pivotArea>
    </format>
    <format dxfId="58">
      <pivotArea dataOnly="0" labelOnly="1" outline="0" fieldPosition="0">
        <references count="2">
          <reference field="4294967294" count="8">
            <x v="0"/>
            <x v="1"/>
            <x v="2"/>
            <x v="3"/>
            <x v="4"/>
            <x v="5"/>
            <x v="6"/>
            <x v="7"/>
          </reference>
          <reference field="0" count="1" selected="0">
            <x v="9"/>
          </reference>
        </references>
      </pivotArea>
    </format>
    <format dxfId="57">
      <pivotArea dataOnly="0" labelOnly="1" outline="0" fieldPosition="0">
        <references count="2">
          <reference field="4294967294" count="8">
            <x v="0"/>
            <x v="1"/>
            <x v="2"/>
            <x v="3"/>
            <x v="4"/>
            <x v="5"/>
            <x v="6"/>
            <x v="7"/>
          </reference>
          <reference field="0" count="1" selected="0">
            <x v="10"/>
          </reference>
        </references>
      </pivotArea>
    </format>
    <format dxfId="56">
      <pivotArea dataOnly="0" labelOnly="1" outline="0" fieldPosition="0">
        <references count="2">
          <reference field="4294967294" count="8">
            <x v="0"/>
            <x v="1"/>
            <x v="2"/>
            <x v="3"/>
            <x v="4"/>
            <x v="5"/>
            <x v="6"/>
            <x v="7"/>
          </reference>
          <reference field="0" count="1" selected="0">
            <x v="11"/>
          </reference>
        </references>
      </pivotArea>
    </format>
    <format dxfId="55">
      <pivotArea dataOnly="0" labelOnly="1" outline="0" fieldPosition="0">
        <references count="2">
          <reference field="4294967294" count="8">
            <x v="0"/>
            <x v="1"/>
            <x v="2"/>
            <x v="3"/>
            <x v="4"/>
            <x v="5"/>
            <x v="6"/>
            <x v="7"/>
          </reference>
          <reference field="0" count="1" selected="0">
            <x v="12"/>
          </reference>
        </references>
      </pivotArea>
    </format>
    <format dxfId="54">
      <pivotArea dataOnly="0" labelOnly="1" outline="0" fieldPosition="0">
        <references count="2">
          <reference field="4294967294" count="8">
            <x v="0"/>
            <x v="1"/>
            <x v="2"/>
            <x v="3"/>
            <x v="4"/>
            <x v="5"/>
            <x v="6"/>
            <x v="7"/>
          </reference>
          <reference field="0" count="1" selected="0">
            <x v="13"/>
          </reference>
        </references>
      </pivotArea>
    </format>
    <format dxfId="53">
      <pivotArea dataOnly="0" labelOnly="1" outline="0" fieldPosition="0">
        <references count="2">
          <reference field="4294967294" count="8">
            <x v="0"/>
            <x v="1"/>
            <x v="2"/>
            <x v="3"/>
            <x v="4"/>
            <x v="5"/>
            <x v="6"/>
            <x v="7"/>
          </reference>
          <reference field="0" count="1" selected="0">
            <x v="14"/>
          </reference>
        </references>
      </pivotArea>
    </format>
    <format dxfId="52">
      <pivotArea dataOnly="0" labelOnly="1" outline="0" fieldPosition="0">
        <references count="2">
          <reference field="4294967294" count="8">
            <x v="0"/>
            <x v="1"/>
            <x v="2"/>
            <x v="3"/>
            <x v="4"/>
            <x v="5"/>
            <x v="6"/>
            <x v="7"/>
          </reference>
          <reference field="0" count="1" selected="0">
            <x v="15"/>
          </reference>
        </references>
      </pivotArea>
    </format>
    <format dxfId="51">
      <pivotArea outline="0" fieldPosition="0"/>
    </format>
    <format dxfId="50">
      <pivotArea dataOnly="0" labelOnly="1" outline="0" fieldPosition="0">
        <references count="1">
          <reference field="0" count="0"/>
        </references>
      </pivotArea>
    </format>
    <format dxfId="49">
      <pivotArea dataOnly="0" labelOnly="1" outline="0" fieldPosition="0">
        <references count="2">
          <reference field="4294967294" count="8">
            <x v="0"/>
            <x v="1"/>
            <x v="2"/>
            <x v="3"/>
            <x v="4"/>
            <x v="5"/>
            <x v="6"/>
            <x v="7"/>
          </reference>
          <reference field="0" count="1" selected="0">
            <x v="0"/>
          </reference>
        </references>
      </pivotArea>
    </format>
    <format dxfId="48">
      <pivotArea dataOnly="0" labelOnly="1" outline="0" fieldPosition="0">
        <references count="2">
          <reference field="4294967294" count="8">
            <x v="0"/>
            <x v="1"/>
            <x v="2"/>
            <x v="3"/>
            <x v="4"/>
            <x v="5"/>
            <x v="6"/>
            <x v="7"/>
          </reference>
          <reference field="0" count="1" selected="0">
            <x v="1"/>
          </reference>
        </references>
      </pivotArea>
    </format>
    <format dxfId="47">
      <pivotArea dataOnly="0" labelOnly="1" outline="0" fieldPosition="0">
        <references count="2">
          <reference field="4294967294" count="8">
            <x v="0"/>
            <x v="1"/>
            <x v="2"/>
            <x v="3"/>
            <x v="4"/>
            <x v="5"/>
            <x v="6"/>
            <x v="7"/>
          </reference>
          <reference field="0" count="1" selected="0">
            <x v="2"/>
          </reference>
        </references>
      </pivotArea>
    </format>
    <format dxfId="46">
      <pivotArea dataOnly="0" labelOnly="1" outline="0" fieldPosition="0">
        <references count="2">
          <reference field="4294967294" count="8">
            <x v="0"/>
            <x v="1"/>
            <x v="2"/>
            <x v="3"/>
            <x v="4"/>
            <x v="5"/>
            <x v="6"/>
            <x v="7"/>
          </reference>
          <reference field="0" count="1" selected="0">
            <x v="3"/>
          </reference>
        </references>
      </pivotArea>
    </format>
    <format dxfId="45">
      <pivotArea dataOnly="0" labelOnly="1" outline="0" fieldPosition="0">
        <references count="2">
          <reference field="4294967294" count="8">
            <x v="0"/>
            <x v="1"/>
            <x v="2"/>
            <x v="3"/>
            <x v="4"/>
            <x v="5"/>
            <x v="6"/>
            <x v="7"/>
          </reference>
          <reference field="0" count="1" selected="0">
            <x v="4"/>
          </reference>
        </references>
      </pivotArea>
    </format>
    <format dxfId="44">
      <pivotArea dataOnly="0" labelOnly="1" outline="0" fieldPosition="0">
        <references count="2">
          <reference field="4294967294" count="8">
            <x v="0"/>
            <x v="1"/>
            <x v="2"/>
            <x v="3"/>
            <x v="4"/>
            <x v="5"/>
            <x v="6"/>
            <x v="7"/>
          </reference>
          <reference field="0" count="1" selected="0">
            <x v="5"/>
          </reference>
        </references>
      </pivotArea>
    </format>
    <format dxfId="43">
      <pivotArea dataOnly="0" labelOnly="1" outline="0" fieldPosition="0">
        <references count="2">
          <reference field="4294967294" count="8">
            <x v="0"/>
            <x v="1"/>
            <x v="2"/>
            <x v="3"/>
            <x v="4"/>
            <x v="5"/>
            <x v="6"/>
            <x v="7"/>
          </reference>
          <reference field="0" count="1" selected="0">
            <x v="6"/>
          </reference>
        </references>
      </pivotArea>
    </format>
    <format dxfId="42">
      <pivotArea dataOnly="0" labelOnly="1" outline="0" fieldPosition="0">
        <references count="2">
          <reference field="4294967294" count="8">
            <x v="0"/>
            <x v="1"/>
            <x v="2"/>
            <x v="3"/>
            <x v="4"/>
            <x v="5"/>
            <x v="6"/>
            <x v="7"/>
          </reference>
          <reference field="0" count="1" selected="0">
            <x v="7"/>
          </reference>
        </references>
      </pivotArea>
    </format>
    <format dxfId="41">
      <pivotArea dataOnly="0" labelOnly="1" outline="0" fieldPosition="0">
        <references count="2">
          <reference field="4294967294" count="8">
            <x v="0"/>
            <x v="1"/>
            <x v="2"/>
            <x v="3"/>
            <x v="4"/>
            <x v="5"/>
            <x v="6"/>
            <x v="7"/>
          </reference>
          <reference field="0" count="1" selected="0">
            <x v="8"/>
          </reference>
        </references>
      </pivotArea>
    </format>
    <format dxfId="40">
      <pivotArea dataOnly="0" labelOnly="1" outline="0" fieldPosition="0">
        <references count="2">
          <reference field="4294967294" count="8">
            <x v="0"/>
            <x v="1"/>
            <x v="2"/>
            <x v="3"/>
            <x v="4"/>
            <x v="5"/>
            <x v="6"/>
            <x v="7"/>
          </reference>
          <reference field="0" count="1" selected="0">
            <x v="9"/>
          </reference>
        </references>
      </pivotArea>
    </format>
    <format dxfId="39">
      <pivotArea dataOnly="0" labelOnly="1" outline="0" fieldPosition="0">
        <references count="2">
          <reference field="4294967294" count="8">
            <x v="0"/>
            <x v="1"/>
            <x v="2"/>
            <x v="3"/>
            <x v="4"/>
            <x v="5"/>
            <x v="6"/>
            <x v="7"/>
          </reference>
          <reference field="0" count="1" selected="0">
            <x v="10"/>
          </reference>
        </references>
      </pivotArea>
    </format>
    <format dxfId="38">
      <pivotArea dataOnly="0" labelOnly="1" outline="0" fieldPosition="0">
        <references count="2">
          <reference field="4294967294" count="8">
            <x v="0"/>
            <x v="1"/>
            <x v="2"/>
            <x v="3"/>
            <x v="4"/>
            <x v="5"/>
            <x v="6"/>
            <x v="7"/>
          </reference>
          <reference field="0" count="1" selected="0">
            <x v="11"/>
          </reference>
        </references>
      </pivotArea>
    </format>
    <format dxfId="37">
      <pivotArea dataOnly="0" labelOnly="1" outline="0" fieldPosition="0">
        <references count="2">
          <reference field="4294967294" count="8">
            <x v="0"/>
            <x v="1"/>
            <x v="2"/>
            <x v="3"/>
            <x v="4"/>
            <x v="5"/>
            <x v="6"/>
            <x v="7"/>
          </reference>
          <reference field="0" count="1" selected="0">
            <x v="12"/>
          </reference>
        </references>
      </pivotArea>
    </format>
    <format dxfId="36">
      <pivotArea dataOnly="0" labelOnly="1" outline="0" fieldPosition="0">
        <references count="2">
          <reference field="4294967294" count="8">
            <x v="0"/>
            <x v="1"/>
            <x v="2"/>
            <x v="3"/>
            <x v="4"/>
            <x v="5"/>
            <x v="6"/>
            <x v="7"/>
          </reference>
          <reference field="0" count="1" selected="0">
            <x v="13"/>
          </reference>
        </references>
      </pivotArea>
    </format>
    <format dxfId="35">
      <pivotArea dataOnly="0" labelOnly="1" outline="0" fieldPosition="0">
        <references count="2">
          <reference field="4294967294" count="8">
            <x v="0"/>
            <x v="1"/>
            <x v="2"/>
            <x v="3"/>
            <x v="4"/>
            <x v="5"/>
            <x v="6"/>
            <x v="7"/>
          </reference>
          <reference field="0" count="1" selected="0">
            <x v="14"/>
          </reference>
        </references>
      </pivotArea>
    </format>
    <format dxfId="34">
      <pivotArea dataOnly="0" labelOnly="1" outline="0" fieldPosition="0">
        <references count="2">
          <reference field="4294967294" count="8">
            <x v="0"/>
            <x v="1"/>
            <x v="2"/>
            <x v="3"/>
            <x v="4"/>
            <x v="5"/>
            <x v="6"/>
            <x v="7"/>
          </reference>
          <reference field="0" count="1" selected="0">
            <x v="15"/>
          </reference>
        </references>
      </pivotArea>
    </format>
    <format dxfId="33">
      <pivotArea field="0" type="button" dataOnly="0" labelOnly="1" outline="0" axis="axisRow" fieldPosition="0"/>
    </format>
    <format dxfId="32">
      <pivotArea field="-2" type="button" dataOnly="0" labelOnly="1" outline="0" axis="axisRow" fieldPosition="1"/>
    </format>
    <format dxfId="31">
      <pivotArea outline="0" fieldPosition="0">
        <references count="2">
          <reference field="4294967294" count="1" selected="0">
            <x v="7"/>
          </reference>
          <reference field="0" count="1" selected="0">
            <x v="0"/>
          </reference>
        </references>
      </pivotArea>
    </format>
    <format dxfId="30">
      <pivotArea dataOnly="0" labelOnly="1" outline="0" offset="IV256" fieldPosition="0">
        <references count="1">
          <reference field="0" count="1">
            <x v="0"/>
          </reference>
        </references>
      </pivotArea>
    </format>
    <format dxfId="29">
      <pivotArea dataOnly="0" labelOnly="1" outline="0" fieldPosition="0">
        <references count="2">
          <reference field="4294967294" count="1">
            <x v="7"/>
          </reference>
          <reference field="0" count="1" selected="0">
            <x v="0"/>
          </reference>
        </references>
      </pivotArea>
    </format>
    <format dxfId="28">
      <pivotArea outline="0" fieldPosition="0">
        <references count="2">
          <reference field="4294967294" count="1" selected="0">
            <x v="1"/>
          </reference>
          <reference field="0" count="1" selected="0">
            <x v="0"/>
          </reference>
        </references>
      </pivotArea>
    </format>
    <format dxfId="27">
      <pivotArea dataOnly="0" labelOnly="1" outline="0" fieldPosition="0">
        <references count="2">
          <reference field="4294967294" count="1">
            <x v="1"/>
          </reference>
          <reference field="0" count="1" selected="0">
            <x v="0"/>
          </reference>
        </references>
      </pivotArea>
    </format>
    <format dxfId="26">
      <pivotArea outline="0" fieldPosition="0">
        <references count="2">
          <reference field="4294967294" count="1" selected="0">
            <x v="3"/>
          </reference>
          <reference field="0" count="1" selected="0">
            <x v="0"/>
          </reference>
        </references>
      </pivotArea>
    </format>
    <format dxfId="25">
      <pivotArea dataOnly="0" labelOnly="1" outline="0" fieldPosition="0">
        <references count="2">
          <reference field="4294967294" count="1">
            <x v="3"/>
          </reference>
          <reference field="0" count="1" selected="0">
            <x v="0"/>
          </reference>
        </references>
      </pivotArea>
    </format>
    <format dxfId="24">
      <pivotArea outline="0" fieldPosition="0">
        <references count="2">
          <reference field="4294967294" count="1" selected="0">
            <x v="5"/>
          </reference>
          <reference field="0" count="1" selected="0">
            <x v="0"/>
          </reference>
        </references>
      </pivotArea>
    </format>
    <format dxfId="23">
      <pivotArea dataOnly="0" labelOnly="1" outline="0" fieldPosition="0">
        <references count="2">
          <reference field="4294967294" count="1">
            <x v="5"/>
          </reference>
          <reference field="0" count="1" selected="0">
            <x v="0"/>
          </reference>
        </references>
      </pivotArea>
    </format>
    <format dxfId="22">
      <pivotArea type="topRight" dataOnly="0" labelOnly="1" outline="0" offset="F1" fieldPosition="0"/>
    </format>
    <format dxfId="21">
      <pivotArea outline="0" fieldPosition="0">
        <references count="2">
          <reference field="4" count="1" selected="0">
            <x v="13"/>
          </reference>
          <reference field="70" count="1" selected="0">
            <x v="3"/>
          </reference>
        </references>
      </pivotArea>
    </format>
    <format dxfId="20">
      <pivotArea type="topRight" dataOnly="0" labelOnly="1" outline="0" offset="K1" fieldPosition="0"/>
    </format>
    <format dxfId="19">
      <pivotArea dataOnly="0" labelOnly="1" outline="0" offset="IV256" fieldPosition="0">
        <references count="1">
          <reference field="70" count="1">
            <x v="3"/>
          </reference>
        </references>
      </pivotArea>
    </format>
    <format dxfId="18">
      <pivotArea dataOnly="0" labelOnly="1" outline="0" fieldPosition="0">
        <references count="2">
          <reference field="4" count="1">
            <x v="13"/>
          </reference>
          <reference field="70" count="1" selected="0">
            <x v="3"/>
          </reference>
        </references>
      </pivotArea>
    </format>
    <format dxfId="17">
      <pivotArea outline="0" fieldPosition="0">
        <references count="2">
          <reference field="4" count="1" selected="0">
            <x v="15"/>
          </reference>
          <reference field="70" count="1" selected="0">
            <x v="4"/>
          </reference>
        </references>
      </pivotArea>
    </format>
    <format dxfId="16">
      <pivotArea type="topRight" dataOnly="0" labelOnly="1" outline="0" offset="N1" fieldPosition="0"/>
    </format>
    <format dxfId="15">
      <pivotArea dataOnly="0" labelOnly="1" outline="0" offset="IV256" fieldPosition="0">
        <references count="1">
          <reference field="70" count="1">
            <x v="4"/>
          </reference>
        </references>
      </pivotArea>
    </format>
    <format dxfId="14">
      <pivotArea dataOnly="0" labelOnly="1" outline="0" fieldPosition="0">
        <references count="2">
          <reference field="4" count="1">
            <x v="15"/>
          </reference>
          <reference field="70" count="1" selected="0">
            <x v="4"/>
          </reference>
        </references>
      </pivotArea>
    </format>
    <format dxfId="13">
      <pivotArea outline="0" fieldPosition="0">
        <references count="4">
          <reference field="4294967294" count="1" selected="0">
            <x v="2"/>
          </reference>
          <reference field="0" count="1" selected="0">
            <x v="11"/>
          </reference>
          <reference field="4" count="1" selected="0">
            <x v="2"/>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ype13ug3_4" connectionId="43" xr16:uid="{5C1D2A99-ECF8-4D16-9356-CBD0205F96A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ype13gr1_2" connectionId="13" xr16:uid="{D7AE5399-AFF8-445C-9005-397AEB757B8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Type13gr5_3" connectionId="29" xr16:uid="{2F3AEC3B-9221-4736-9249-93A5109CC028}"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Type13gr2_2" connectionId="17" xr16:uid="{F568B3D1-E7A9-4E4E-8B8B-4516A167D636}"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Type13ug2_1" connectionId="36" xr16:uid="{00000000-0016-0000-0000-000006000000}"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Type13ug3_3" connectionId="42" xr16:uid="{660170DF-EBE0-44DF-9318-D347B0A59E65}"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Type13gr3_3" connectionId="22" xr16:uid="{726A9724-DA8E-4239-8818-4734D157B6BE}"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Type13gr3_4" connectionId="23" xr16:uid="{90BA7E56-0C59-4084-A553-F8885F5F43D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Type13gr1_4" connectionId="15" xr16:uid="{78402A76-0029-4C4B-A0E1-3495D1CE025B}"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Type13gr1_1" connectionId="12" xr16:uid="{00000000-0016-0000-0000-000001000000}"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Type13gr1_3" connectionId="14" xr16:uid="{8369360A-CCDC-4052-9FBB-6DBFCE2DDA7A}"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Type13ug3_2" connectionId="41" xr16:uid="{D76295D9-DAA5-4B93-87BC-0AA88A0613C1}"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Type13ug2_2" connectionId="37" xr16:uid="{59AA97FB-5029-4FF3-8F78-51632F0C2943}"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Type13ug5_2" connectionId="49" xr16:uid="{21D92B78-93E6-4B1D-B995-7310D3BB1588}"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Type13gr5_2" connectionId="28" xr16:uid="{00000000-0016-0000-0000-000009000000}"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Type13gr3_2" connectionId="21" xr16:uid="{5F762C00-03FC-4FF7-A8FC-76DDD2D2A10E}"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Type13ug5_4" connectionId="51" xr16:uid="{A8AD6CBF-7824-4E29-ACE5-161F3590F982}"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Type13ug4_4" connectionId="47" xr16:uid="{DF003842-B128-4F99-B330-A47E41CB78E5}"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Type13gr5_5" connectionId="31" xr16:uid="{32E76C78-0039-403F-89B9-D5B070292550}"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Type13gr2_1" connectionId="16" xr16:uid="{00000000-0016-0000-0000-000004000000}"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Type13gr3_1" connectionId="20" xr16:uid="{00000000-0016-0000-0000-000002000000}"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Type13gr4_2" connectionId="25" xr16:uid="{D7CB0326-D2C7-4ECF-8433-BDD021E72B78}"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Type13ug5_1" connectionId="48" xr16:uid="{00000000-0016-0000-0000-000007000000}"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Type13gr4_1" connectionId="24" xr16:uid="{00000000-0016-0000-0000-000005000000}"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Type13gr2_4" connectionId="19" xr16:uid="{729B3614-1733-4600-8C9D-1FA2B8694438}"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Type13ug4_1" connectionId="44" xr16:uid="{00000000-0016-0000-0000-000008000000}"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Type13ug1_1" connectionId="32" xr16:uid="{00000000-0016-0000-0000-000003000000}"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Type13gr4_4" connectionId="27" xr16:uid="{D67BB07E-1191-4958-ABE8-89D04F2DB0EC}"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Type13gr5_4" connectionId="30" xr16:uid="{3FE10E2B-10C1-48BC-8246-6FA9241A471F}"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Type13ug3_1" connectionId="40" xr16:uid="{00000000-0016-0000-0000-000000000000}"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Type13gr4_3" connectionId="26" xr16:uid="{8679ABE7-9AFD-46E9-BBF4-FE158014C37A}"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Type13ug2_4" connectionId="39" xr16:uid="{039FFD15-F93C-46DF-9920-4D5CE0BBF4BD}"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Type13ug1_3" connectionId="34" xr16:uid="{67C772EC-C017-495B-9D38-59E14AF08090}"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Type13ug4_2" connectionId="45" xr16:uid="{255A6CBA-FE78-4D20-A80D-D90C1CC4F1DB}"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Type13ug1_4" connectionId="35" xr16:uid="{1F5635C5-B708-489E-A4DA-C3DBB3412ADF}"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Type13ug2_3" connectionId="38" xr16:uid="{D58635D6-B4F9-4169-BBDA-B6385C748EDB}"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Type13gr2_3" connectionId="18" xr16:uid="{E471A5E3-ADD5-41AC-828E-0315F919EEBF}"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Type13ug1_2" connectionId="33" xr16:uid="{062D269B-97AA-4973-8793-DB3D6F9E3452}"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Type13ug5_3" connectionId="50" xr16:uid="{3E0EA3FF-035B-4CFD-883F-FEF8400E0E9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Type13ug4_3" connectionId="46" xr16:uid="{FCB76502-4540-4913-A638-44C757A912AC}"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3" Type="http://schemas.openxmlformats.org/officeDocument/2006/relationships/queryTable" Target="../queryTables/queryTable12.xml"/><Relationship Id="rId18" Type="http://schemas.openxmlformats.org/officeDocument/2006/relationships/queryTable" Target="../queryTables/queryTable17.xml"/><Relationship Id="rId26" Type="http://schemas.openxmlformats.org/officeDocument/2006/relationships/queryTable" Target="../queryTables/queryTable25.xml"/><Relationship Id="rId39" Type="http://schemas.openxmlformats.org/officeDocument/2006/relationships/queryTable" Target="../queryTables/queryTable38.xml"/><Relationship Id="rId21" Type="http://schemas.openxmlformats.org/officeDocument/2006/relationships/queryTable" Target="../queryTables/queryTable20.xml"/><Relationship Id="rId34" Type="http://schemas.openxmlformats.org/officeDocument/2006/relationships/queryTable" Target="../queryTables/queryTable33.xml"/><Relationship Id="rId42" Type="http://schemas.openxmlformats.org/officeDocument/2006/relationships/comments" Target="../comments4.xml"/><Relationship Id="rId7" Type="http://schemas.openxmlformats.org/officeDocument/2006/relationships/queryTable" Target="../queryTables/queryTable6.xml"/><Relationship Id="rId2" Type="http://schemas.openxmlformats.org/officeDocument/2006/relationships/queryTable" Target="../queryTables/queryTable1.xml"/><Relationship Id="rId16" Type="http://schemas.openxmlformats.org/officeDocument/2006/relationships/queryTable" Target="../queryTables/queryTable15.xml"/><Relationship Id="rId20" Type="http://schemas.openxmlformats.org/officeDocument/2006/relationships/queryTable" Target="../queryTables/queryTable19.xml"/><Relationship Id="rId29" Type="http://schemas.openxmlformats.org/officeDocument/2006/relationships/queryTable" Target="../queryTables/queryTable28.xml"/><Relationship Id="rId41" Type="http://schemas.openxmlformats.org/officeDocument/2006/relationships/queryTable" Target="../queryTables/queryTable40.xml"/><Relationship Id="rId1" Type="http://schemas.openxmlformats.org/officeDocument/2006/relationships/vmlDrawing" Target="../drawings/vmlDrawing4.vml"/><Relationship Id="rId6" Type="http://schemas.openxmlformats.org/officeDocument/2006/relationships/queryTable" Target="../queryTables/queryTable5.xml"/><Relationship Id="rId11" Type="http://schemas.openxmlformats.org/officeDocument/2006/relationships/queryTable" Target="../queryTables/queryTable10.xml"/><Relationship Id="rId24" Type="http://schemas.openxmlformats.org/officeDocument/2006/relationships/queryTable" Target="../queryTables/queryTable23.xml"/><Relationship Id="rId32" Type="http://schemas.openxmlformats.org/officeDocument/2006/relationships/queryTable" Target="../queryTables/queryTable31.xml"/><Relationship Id="rId37" Type="http://schemas.openxmlformats.org/officeDocument/2006/relationships/queryTable" Target="../queryTables/queryTable36.xml"/><Relationship Id="rId40" Type="http://schemas.openxmlformats.org/officeDocument/2006/relationships/queryTable" Target="../queryTables/queryTable39.xml"/><Relationship Id="rId5" Type="http://schemas.openxmlformats.org/officeDocument/2006/relationships/queryTable" Target="../queryTables/queryTable4.xml"/><Relationship Id="rId15" Type="http://schemas.openxmlformats.org/officeDocument/2006/relationships/queryTable" Target="../queryTables/queryTable14.xml"/><Relationship Id="rId23" Type="http://schemas.openxmlformats.org/officeDocument/2006/relationships/queryTable" Target="../queryTables/queryTable22.xml"/><Relationship Id="rId28" Type="http://schemas.openxmlformats.org/officeDocument/2006/relationships/queryTable" Target="../queryTables/queryTable27.xml"/><Relationship Id="rId36" Type="http://schemas.openxmlformats.org/officeDocument/2006/relationships/queryTable" Target="../queryTables/queryTable35.xml"/><Relationship Id="rId10" Type="http://schemas.openxmlformats.org/officeDocument/2006/relationships/queryTable" Target="../queryTables/queryTable9.xml"/><Relationship Id="rId19" Type="http://schemas.openxmlformats.org/officeDocument/2006/relationships/queryTable" Target="../queryTables/queryTable18.xml"/><Relationship Id="rId31" Type="http://schemas.openxmlformats.org/officeDocument/2006/relationships/queryTable" Target="../queryTables/queryTable30.xml"/><Relationship Id="rId4" Type="http://schemas.openxmlformats.org/officeDocument/2006/relationships/queryTable" Target="../queryTables/queryTable3.xml"/><Relationship Id="rId9" Type="http://schemas.openxmlformats.org/officeDocument/2006/relationships/queryTable" Target="../queryTables/queryTable8.xml"/><Relationship Id="rId14" Type="http://schemas.openxmlformats.org/officeDocument/2006/relationships/queryTable" Target="../queryTables/queryTable13.xml"/><Relationship Id="rId22" Type="http://schemas.openxmlformats.org/officeDocument/2006/relationships/queryTable" Target="../queryTables/queryTable21.xml"/><Relationship Id="rId27" Type="http://schemas.openxmlformats.org/officeDocument/2006/relationships/queryTable" Target="../queryTables/queryTable26.xml"/><Relationship Id="rId30" Type="http://schemas.openxmlformats.org/officeDocument/2006/relationships/queryTable" Target="../queryTables/queryTable29.xml"/><Relationship Id="rId35" Type="http://schemas.openxmlformats.org/officeDocument/2006/relationships/queryTable" Target="../queryTables/queryTable34.xml"/><Relationship Id="rId8" Type="http://schemas.openxmlformats.org/officeDocument/2006/relationships/queryTable" Target="../queryTables/queryTable7.xml"/><Relationship Id="rId3" Type="http://schemas.openxmlformats.org/officeDocument/2006/relationships/queryTable" Target="../queryTables/queryTable2.xml"/><Relationship Id="rId12" Type="http://schemas.openxmlformats.org/officeDocument/2006/relationships/queryTable" Target="../queryTables/queryTable11.xml"/><Relationship Id="rId17" Type="http://schemas.openxmlformats.org/officeDocument/2006/relationships/queryTable" Target="../queryTables/queryTable16.xml"/><Relationship Id="rId25" Type="http://schemas.openxmlformats.org/officeDocument/2006/relationships/queryTable" Target="../queryTables/queryTable24.xml"/><Relationship Id="rId33" Type="http://schemas.openxmlformats.org/officeDocument/2006/relationships/queryTable" Target="../queryTables/queryTable32.xml"/><Relationship Id="rId38" Type="http://schemas.openxmlformats.org/officeDocument/2006/relationships/queryTable" Target="../queryTables/queryTable37.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8C3-9555-4707-B53A-A5F3C171EA40}">
  <sheetPr>
    <tabColor rgb="FFC00000"/>
  </sheetPr>
  <dimension ref="A1:AN116"/>
  <sheetViews>
    <sheetView showZeros="0" tabSelected="1" view="pageBreakPreview" topLeftCell="A82" zoomScaleNormal="100" zoomScaleSheetLayoutView="100" workbookViewId="0">
      <selection activeCell="L23" sqref="L23"/>
    </sheetView>
  </sheetViews>
  <sheetFormatPr defaultColWidth="8.84375" defaultRowHeight="14.5"/>
  <cols>
    <col min="1" max="1" width="9.84375" style="59" customWidth="1"/>
    <col min="2" max="16" width="5.53515625" style="59" customWidth="1"/>
    <col min="17" max="23" width="8.84375" style="59"/>
    <col min="24" max="24" width="10.3046875" style="59" customWidth="1"/>
    <col min="25" max="16384" width="8.84375" style="59"/>
  </cols>
  <sheetData>
    <row r="1" spans="1:33" ht="18">
      <c r="A1" s="484" t="s">
        <v>682</v>
      </c>
      <c r="B1" s="484"/>
      <c r="C1" s="484"/>
      <c r="D1" s="484"/>
      <c r="E1" s="484"/>
      <c r="F1" s="484"/>
      <c r="G1" s="484"/>
      <c r="H1" s="484"/>
      <c r="I1" s="484"/>
      <c r="J1" s="484"/>
      <c r="K1" s="484"/>
      <c r="L1" s="484"/>
      <c r="M1" s="484"/>
      <c r="N1" s="484"/>
      <c r="O1" s="484"/>
      <c r="P1" s="484"/>
    </row>
    <row r="2" spans="1:33" s="139" customFormat="1" ht="13">
      <c r="A2" s="140"/>
      <c r="B2" s="136"/>
      <c r="C2" s="136"/>
      <c r="D2" s="136"/>
      <c r="E2" s="136"/>
      <c r="F2" s="136"/>
      <c r="G2" s="136"/>
      <c r="H2" s="136"/>
      <c r="I2" s="136"/>
      <c r="J2" s="136"/>
      <c r="K2" s="136"/>
      <c r="L2" s="136"/>
      <c r="M2" s="136"/>
      <c r="N2" s="136"/>
      <c r="O2" s="136"/>
      <c r="P2" s="136"/>
    </row>
    <row r="3" spans="1:33" ht="15.5">
      <c r="A3" s="338" t="s">
        <v>880</v>
      </c>
      <c r="B3" s="136"/>
      <c r="C3" s="136"/>
      <c r="D3" s="136"/>
      <c r="E3" s="136"/>
      <c r="F3" s="136"/>
      <c r="G3" s="230"/>
      <c r="H3" s="230"/>
      <c r="I3" s="230"/>
      <c r="J3" s="230"/>
      <c r="K3" s="230"/>
      <c r="L3" s="230"/>
      <c r="M3" s="230"/>
      <c r="N3" s="230"/>
      <c r="O3" s="230"/>
      <c r="P3" s="230"/>
    </row>
    <row r="4" spans="1:33">
      <c r="A4" s="273"/>
      <c r="B4" s="234"/>
      <c r="C4" s="234"/>
      <c r="D4" s="234"/>
      <c r="E4" s="234"/>
      <c r="F4" s="234"/>
      <c r="G4" s="234"/>
      <c r="H4" s="234"/>
      <c r="I4" s="234"/>
      <c r="J4" s="234"/>
      <c r="K4" s="234"/>
      <c r="L4" s="234"/>
    </row>
    <row r="5" spans="1:33" s="240" customFormat="1">
      <c r="A5" s="274"/>
      <c r="B5" s="485" t="s">
        <v>517</v>
      </c>
      <c r="C5" s="485"/>
      <c r="D5" s="485"/>
      <c r="E5" s="485"/>
      <c r="F5" s="485"/>
      <c r="G5" s="485"/>
      <c r="H5" s="486"/>
      <c r="I5" s="487" t="s">
        <v>520</v>
      </c>
      <c r="J5" s="485"/>
      <c r="K5" s="485"/>
      <c r="L5" s="485"/>
      <c r="M5" s="485"/>
      <c r="N5" s="162" t="s">
        <v>536</v>
      </c>
      <c r="O5" s="151"/>
      <c r="P5" s="151"/>
      <c r="R5" s="59"/>
      <c r="S5" s="59"/>
      <c r="T5" s="59"/>
      <c r="U5" s="59"/>
      <c r="V5" s="59"/>
      <c r="W5" s="59"/>
      <c r="X5" s="59"/>
      <c r="Y5" s="59"/>
      <c r="Z5" s="59"/>
      <c r="AA5" s="59"/>
      <c r="AB5" s="59"/>
      <c r="AC5" s="59"/>
      <c r="AD5" s="59"/>
      <c r="AE5" s="59"/>
      <c r="AF5" s="59"/>
      <c r="AG5" s="59"/>
    </row>
    <row r="6" spans="1:33" s="244" customFormat="1" ht="24">
      <c r="A6" s="275"/>
      <c r="B6" s="157">
        <v>1</v>
      </c>
      <c r="C6" s="157">
        <v>2</v>
      </c>
      <c r="D6" s="157">
        <v>3</v>
      </c>
      <c r="E6" s="157">
        <v>4</v>
      </c>
      <c r="F6" s="157">
        <v>5</v>
      </c>
      <c r="G6" s="157">
        <v>6</v>
      </c>
      <c r="H6" s="276" t="s">
        <v>694</v>
      </c>
      <c r="I6" s="277" t="s">
        <v>684</v>
      </c>
      <c r="J6" s="157">
        <v>1</v>
      </c>
      <c r="K6" s="157">
        <v>2</v>
      </c>
      <c r="L6" s="157">
        <v>3</v>
      </c>
      <c r="M6" s="156" t="s">
        <v>685</v>
      </c>
      <c r="N6" s="156">
        <v>1</v>
      </c>
      <c r="O6" s="157">
        <v>2</v>
      </c>
      <c r="P6" s="156" t="s">
        <v>685</v>
      </c>
      <c r="R6" s="59"/>
      <c r="S6" s="59"/>
      <c r="T6" s="59"/>
      <c r="U6" s="59"/>
      <c r="V6" s="59"/>
      <c r="W6" s="59"/>
      <c r="X6" s="59"/>
      <c r="Y6" s="59"/>
      <c r="Z6" s="59"/>
      <c r="AA6" s="59"/>
      <c r="AB6" s="59"/>
      <c r="AC6" s="59"/>
      <c r="AD6" s="59"/>
      <c r="AE6" s="59"/>
      <c r="AF6" s="59"/>
      <c r="AG6" s="59"/>
    </row>
    <row r="7" spans="1:33">
      <c r="A7" s="139" t="s">
        <v>618</v>
      </c>
      <c r="B7" s="245">
        <f>+'NEW...Tables 91-112'!B41+'NEW...Tables 91-112'!C41</f>
        <v>72.454788792073074</v>
      </c>
      <c r="C7" s="245">
        <f>+'NEW...Tables 91-112'!B72+'NEW...Tables 91-112'!C72</f>
        <v>66.219354267435548</v>
      </c>
      <c r="D7" s="245">
        <f>+'NEW...Tables 91-112'!B102+'NEW...Tables 91-112'!C102</f>
        <v>51.477019556068974</v>
      </c>
      <c r="E7" s="245">
        <f>+'NEW...Tables 91-112'!B133+'NEW...Tables 91-112'!C133</f>
        <v>50.672239838570199</v>
      </c>
      <c r="F7" s="245">
        <f>+'NEW...Tables 91-112'!B164+'NEW...Tables 91-112'!C164</f>
        <v>69.018631545133303</v>
      </c>
      <c r="G7" s="245">
        <f>+'NEW...Tables 91-112'!B194+'NEW...Tables 91-112'!C194</f>
        <v>12.976371658288366</v>
      </c>
      <c r="H7" s="250">
        <f>+'NEW...Tables 91-112'!B9+'NEW...Tables 91-112'!C9</f>
        <v>64.192530376596011</v>
      </c>
      <c r="I7" s="247">
        <f>+'NEW...Tables 91-112'!B256+'NEW...Tables 91-112'!C256</f>
        <v>0</v>
      </c>
      <c r="J7" s="245">
        <f>+'NEW...Tables 91-112'!B287+'NEW...Tables 91-112'!C287</f>
        <v>44.062793560299312</v>
      </c>
      <c r="K7" s="245">
        <f>+'NEW...Tables 91-112'!B318+'NEW...Tables 91-112'!C318</f>
        <v>56.180697934381243</v>
      </c>
      <c r="L7" s="245">
        <f>+'NEW...Tables 91-112'!B349+'NEW...Tables 91-112'!C349</f>
        <v>43.633311849674129</v>
      </c>
      <c r="M7" s="247">
        <f>+'NEW...Tables 91-112'!B225+'NEW...Tables 91-112'!C225</f>
        <v>49.926418371172375</v>
      </c>
      <c r="N7" s="248">
        <f>+'NEW...Tables 91-112'!B410+'NEW...Tables 91-112'!C410</f>
        <v>45.58130400628437</v>
      </c>
      <c r="O7" s="174">
        <f>+'NEW...Tables 91-112'!B440+'NEW...Tables 91-112'!C440</f>
        <v>84.550002689762763</v>
      </c>
      <c r="P7" s="247">
        <f>+'NEW...Tables 91-112'!B380+'NEW...Tables 91-112'!C380</f>
        <v>64.175886233539543</v>
      </c>
      <c r="Q7" s="139"/>
      <c r="R7" s="139"/>
      <c r="V7" s="139"/>
    </row>
    <row r="8" spans="1:33">
      <c r="A8" s="139" t="s">
        <v>619</v>
      </c>
      <c r="B8" s="245">
        <f>+'NEW...Tables 91-112'!B42+'NEW...Tables 91-112'!C42</f>
        <v>86.697445180525875</v>
      </c>
      <c r="C8" s="245">
        <f>+'NEW...Tables 91-112'!B73+'NEW...Tables 91-112'!C73</f>
        <v>54.707987788473908</v>
      </c>
      <c r="D8" s="245">
        <f>+'NEW...Tables 91-112'!B103+'NEW...Tables 91-112'!C103</f>
        <v>72.225526846724279</v>
      </c>
      <c r="E8" s="245">
        <f>+'NEW...Tables 91-112'!B134+'NEW...Tables 91-112'!C134</f>
        <v>75.591143678840169</v>
      </c>
      <c r="F8" s="245">
        <f>+'NEW...Tables 91-112'!B165+'NEW...Tables 91-112'!C165</f>
        <v>0</v>
      </c>
      <c r="G8" s="245">
        <f>+'NEW...Tables 91-112'!B195+'NEW...Tables 91-112'!C195</f>
        <v>70.901067735179282</v>
      </c>
      <c r="H8" s="250">
        <f>+'NEW...Tables 91-112'!B10+'NEW...Tables 91-112'!C10</f>
        <v>75.567588828138398</v>
      </c>
      <c r="I8" s="247">
        <f>+'NEW...Tables 91-112'!B257+'NEW...Tables 91-112'!C257</f>
        <v>0</v>
      </c>
      <c r="J8" s="245">
        <f>+'NEW...Tables 91-112'!B288+'NEW...Tables 91-112'!C288</f>
        <v>64.674278925483463</v>
      </c>
      <c r="K8" s="245">
        <f>+'NEW...Tables 91-112'!B319+'NEW...Tables 91-112'!C319</f>
        <v>62.780398625718398</v>
      </c>
      <c r="L8" s="245">
        <f>+'NEW...Tables 91-112'!B350+'NEW...Tables 91-112'!C350</f>
        <v>64.130248353457731</v>
      </c>
      <c r="M8" s="247">
        <f>+'NEW...Tables 91-112'!B226+'NEW...Tables 91-112'!C226</f>
        <v>63.941555015439448</v>
      </c>
      <c r="N8" s="248">
        <f>+'NEW...Tables 91-112'!B411+'NEW...Tables 91-112'!C411</f>
        <v>0</v>
      </c>
      <c r="O8" s="174">
        <f>+'NEW...Tables 91-112'!B441+'NEW...Tables 91-112'!C441</f>
        <v>0</v>
      </c>
      <c r="P8" s="247">
        <f>+'NEW...Tables 91-112'!B381+'NEW...Tables 91-112'!C381</f>
        <v>0</v>
      </c>
    </row>
    <row r="9" spans="1:33">
      <c r="A9" s="139" t="s">
        <v>620</v>
      </c>
      <c r="B9" s="245">
        <f>+'NEW...Tables 91-112'!B43+'NEW...Tables 91-112'!C43</f>
        <v>49.079771965928089</v>
      </c>
      <c r="C9" s="245">
        <f>+'NEW...Tables 91-112'!B74+'NEW...Tables 91-112'!C74</f>
        <v>0</v>
      </c>
      <c r="D9" s="245">
        <f>+'NEW...Tables 91-112'!B104+'NEW...Tables 91-112'!C104</f>
        <v>79.296311481633325</v>
      </c>
      <c r="E9" s="245">
        <f>+'NEW...Tables 91-112'!B135+'NEW...Tables 91-112'!C135</f>
        <v>0</v>
      </c>
      <c r="F9" s="245">
        <f>+'NEW...Tables 91-112'!B166+'NEW...Tables 91-112'!C166</f>
        <v>0</v>
      </c>
      <c r="G9" s="245">
        <f>+'NEW...Tables 91-112'!B196+'NEW...Tables 91-112'!C196</f>
        <v>0</v>
      </c>
      <c r="H9" s="250">
        <f>+'NEW...Tables 91-112'!B11+'NEW...Tables 91-112'!C11</f>
        <v>54.514159149440545</v>
      </c>
      <c r="I9" s="247">
        <f>+'NEW...Tables 91-112'!B258+'NEW...Tables 91-112'!C258</f>
        <v>0</v>
      </c>
      <c r="J9" s="245">
        <f>+'NEW...Tables 91-112'!B289+'NEW...Tables 91-112'!C289</f>
        <v>0</v>
      </c>
      <c r="K9" s="245">
        <f>+'NEW...Tables 91-112'!B320+'NEW...Tables 91-112'!C320</f>
        <v>74.155805748893073</v>
      </c>
      <c r="L9" s="245">
        <f>+'NEW...Tables 91-112'!B351+'NEW...Tables 91-112'!C351</f>
        <v>0</v>
      </c>
      <c r="M9" s="247">
        <f>+'NEW...Tables 91-112'!B227+'NEW...Tables 91-112'!C227</f>
        <v>74.155805748893073</v>
      </c>
      <c r="N9" s="248">
        <f>+'NEW...Tables 91-112'!B412+'NEW...Tables 91-112'!C412</f>
        <v>0</v>
      </c>
      <c r="O9" s="174">
        <f>+'NEW...Tables 91-112'!B442+'NEW...Tables 91-112'!C442</f>
        <v>0</v>
      </c>
      <c r="P9" s="247">
        <f>+'NEW...Tables 91-112'!B382+'NEW...Tables 91-112'!C382</f>
        <v>0</v>
      </c>
    </row>
    <row r="10" spans="1:33">
      <c r="A10" s="139" t="s">
        <v>621</v>
      </c>
      <c r="B10" s="245">
        <f>+'NEW...Tables 91-112'!B44+'NEW...Tables 91-112'!C44</f>
        <v>0</v>
      </c>
      <c r="C10" s="245">
        <f>+'NEW...Tables 91-112'!B75+'NEW...Tables 91-112'!C75</f>
        <v>0</v>
      </c>
      <c r="D10" s="245">
        <f>+'NEW...Tables 91-112'!B105+'NEW...Tables 91-112'!C105</f>
        <v>0</v>
      </c>
      <c r="E10" s="245">
        <f>+'NEW...Tables 91-112'!B136+'NEW...Tables 91-112'!C136</f>
        <v>0</v>
      </c>
      <c r="F10" s="245">
        <f>+'NEW...Tables 91-112'!B167+'NEW...Tables 91-112'!C167</f>
        <v>0</v>
      </c>
      <c r="G10" s="245">
        <f>+'NEW...Tables 91-112'!B197+'NEW...Tables 91-112'!C197</f>
        <v>0</v>
      </c>
      <c r="H10" s="250">
        <f>+'NEW...Tables 91-112'!B12+'NEW...Tables 91-112'!C12</f>
        <v>0</v>
      </c>
      <c r="I10" s="247">
        <f>+'NEW...Tables 91-112'!B259+'NEW...Tables 91-112'!C259</f>
        <v>38.6983744703087</v>
      </c>
      <c r="J10" s="245">
        <f>+'NEW...Tables 91-112'!B290+'NEW...Tables 91-112'!C290</f>
        <v>36.367919346767401</v>
      </c>
      <c r="K10" s="245">
        <f>+'NEW...Tables 91-112'!B321+'NEW...Tables 91-112'!C321</f>
        <v>0</v>
      </c>
      <c r="L10" s="245">
        <f>+'NEW...Tables 91-112'!B352+'NEW...Tables 91-112'!C352</f>
        <v>43.034953909503535</v>
      </c>
      <c r="M10" s="247">
        <f>+'NEW...Tables 91-112'!B228+'NEW...Tables 91-112'!C228</f>
        <v>38.501353028036633</v>
      </c>
      <c r="N10" s="248">
        <f>+'NEW...Tables 91-112'!B413+'NEW...Tables 91-112'!C413</f>
        <v>0</v>
      </c>
      <c r="O10" s="174">
        <f>+'NEW...Tables 91-112'!B443+'NEW...Tables 91-112'!C443</f>
        <v>0</v>
      </c>
      <c r="P10" s="247">
        <f>+'NEW...Tables 91-112'!B383+'NEW...Tables 91-112'!C383</f>
        <v>0</v>
      </c>
    </row>
    <row r="11" spans="1:33">
      <c r="A11" s="139"/>
      <c r="B11" s="245"/>
      <c r="C11" s="245"/>
      <c r="D11" s="245"/>
      <c r="E11" s="245"/>
      <c r="F11" s="245"/>
      <c r="G11" s="245"/>
      <c r="H11" s="250"/>
      <c r="I11" s="247"/>
      <c r="J11" s="245"/>
      <c r="K11" s="245"/>
      <c r="L11" s="245"/>
      <c r="M11" s="247"/>
      <c r="N11" s="248"/>
      <c r="O11" s="174"/>
      <c r="P11" s="247"/>
    </row>
    <row r="12" spans="1:33">
      <c r="A12" s="139" t="s">
        <v>622</v>
      </c>
      <c r="B12" s="245">
        <f>+'NEW...Tables 91-112'!B46+'NEW...Tables 91-112'!C46</f>
        <v>57.897282907504326</v>
      </c>
      <c r="C12" s="245">
        <f>+'NEW...Tables 91-112'!B77+'NEW...Tables 91-112'!C77</f>
        <v>43.048733928381473</v>
      </c>
      <c r="D12" s="245">
        <f>+'NEW...Tables 91-112'!B107+'NEW...Tables 91-112'!C107</f>
        <v>50.894697851228536</v>
      </c>
      <c r="E12" s="245">
        <f>+'NEW...Tables 91-112'!B138+'NEW...Tables 91-112'!C138</f>
        <v>60.674065879268618</v>
      </c>
      <c r="F12" s="245">
        <f>+'NEW...Tables 91-112'!B169+'NEW...Tables 91-112'!C169</f>
        <v>53.154958989162424</v>
      </c>
      <c r="G12" s="245">
        <f>+'NEW...Tables 91-112'!B199+'NEW...Tables 91-112'!C199</f>
        <v>62.896653540377478</v>
      </c>
      <c r="H12" s="250">
        <f>+'NEW...Tables 91-112'!B14+'NEW...Tables 91-112'!C14</f>
        <v>55.513457888707528</v>
      </c>
      <c r="I12" s="247">
        <f>+'NEW...Tables 91-112'!B261+'NEW...Tables 91-112'!C261</f>
        <v>47.772927025670469</v>
      </c>
      <c r="J12" s="245">
        <f>+'NEW...Tables 91-112'!B292+'NEW...Tables 91-112'!C292</f>
        <v>0</v>
      </c>
      <c r="K12" s="245">
        <f>+'NEW...Tables 91-112'!B323+'NEW...Tables 91-112'!C323</f>
        <v>0</v>
      </c>
      <c r="L12" s="245">
        <f>+'NEW...Tables 91-112'!B354+'NEW...Tables 91-112'!C354</f>
        <v>0</v>
      </c>
      <c r="M12" s="247">
        <f>+'NEW...Tables 91-112'!B230+'NEW...Tables 91-112'!C230</f>
        <v>47.772927025670469</v>
      </c>
      <c r="N12" s="248">
        <f>+'NEW...Tables 91-112'!B415+'NEW...Tables 91-112'!C415</f>
        <v>44.266334009841188</v>
      </c>
      <c r="O12" s="174">
        <f>+'NEW...Tables 91-112'!B445+'NEW...Tables 91-112'!C445</f>
        <v>0</v>
      </c>
      <c r="P12" s="247">
        <f>+'NEW...Tables 91-112'!B385+'NEW...Tables 91-112'!C385</f>
        <v>44.266334009841188</v>
      </c>
    </row>
    <row r="13" spans="1:33">
      <c r="A13" s="139" t="s">
        <v>623</v>
      </c>
      <c r="B13" s="245">
        <f>+'NEW...Tables 91-112'!B47+'NEW...Tables 91-112'!C47</f>
        <v>60.783658410763792</v>
      </c>
      <c r="C13" s="245">
        <f>+'NEW...Tables 91-112'!B78+'NEW...Tables 91-112'!C78</f>
        <v>0</v>
      </c>
      <c r="D13" s="245">
        <f>+'NEW...Tables 91-112'!B108+'NEW...Tables 91-112'!C108</f>
        <v>63.811270563528176</v>
      </c>
      <c r="E13" s="245">
        <f>+'NEW...Tables 91-112'!B139+'NEW...Tables 91-112'!C139</f>
        <v>63.751929012345684</v>
      </c>
      <c r="F13" s="245">
        <f>+'NEW...Tables 91-112'!B170+'NEW...Tables 91-112'!C170</f>
        <v>0</v>
      </c>
      <c r="G13" s="245">
        <f>+'NEW...Tables 91-112'!B200+'NEW...Tables 91-112'!C200</f>
        <v>0</v>
      </c>
      <c r="H13" s="250">
        <f>+'NEW...Tables 91-112'!B15+'NEW...Tables 91-112'!C15</f>
        <v>62.592027029318636</v>
      </c>
      <c r="I13" s="247">
        <f>+'NEW...Tables 91-112'!B262+'NEW...Tables 91-112'!C262</f>
        <v>0</v>
      </c>
      <c r="J13" s="245">
        <f>+'NEW...Tables 91-112'!B293+'NEW...Tables 91-112'!C293</f>
        <v>53.329972567965939</v>
      </c>
      <c r="K13" s="245">
        <f>+'NEW...Tables 91-112'!B324+'NEW...Tables 91-112'!C324</f>
        <v>46.041514618125618</v>
      </c>
      <c r="L13" s="245">
        <f>+'NEW...Tables 91-112'!B355+'NEW...Tables 91-112'!C355</f>
        <v>46.066790765283045</v>
      </c>
      <c r="M13" s="247">
        <f>+'NEW...Tables 91-112'!B231+'NEW...Tables 91-112'!C231</f>
        <v>48.576339625790851</v>
      </c>
      <c r="N13" s="248">
        <f>+'NEW...Tables 91-112'!B416+'NEW...Tables 91-112'!C416</f>
        <v>56.419124454437238</v>
      </c>
      <c r="O13" s="174">
        <f>+'NEW...Tables 91-112'!B446+'NEW...Tables 91-112'!C446</f>
        <v>0</v>
      </c>
      <c r="P13" s="247">
        <f>+'NEW...Tables 91-112'!B386+'NEW...Tables 91-112'!C386</f>
        <v>56.419124454437238</v>
      </c>
    </row>
    <row r="14" spans="1:33">
      <c r="A14" s="139" t="s">
        <v>624</v>
      </c>
      <c r="B14" s="245">
        <f>+'NEW...Tables 91-112'!B48+'NEW...Tables 91-112'!C48</f>
        <v>67.226786158825035</v>
      </c>
      <c r="C14" s="245">
        <f>+'NEW...Tables 91-112'!B79+'NEW...Tables 91-112'!C79</f>
        <v>72.036381856758965</v>
      </c>
      <c r="D14" s="245">
        <f>+'NEW...Tables 91-112'!B109+'NEW...Tables 91-112'!C109</f>
        <v>60.041296219418108</v>
      </c>
      <c r="E14" s="245">
        <f>+'NEW...Tables 91-112'!B140+'NEW...Tables 91-112'!C140</f>
        <v>51.047624244143151</v>
      </c>
      <c r="F14" s="245">
        <f>+'NEW...Tables 91-112'!B171+'NEW...Tables 91-112'!C171</f>
        <v>0</v>
      </c>
      <c r="G14" s="245">
        <f>+'NEW...Tables 91-112'!B201+'NEW...Tables 91-112'!C201</f>
        <v>51.570881226053643</v>
      </c>
      <c r="H14" s="250">
        <f>+'NEW...Tables 91-112'!B16+'NEW...Tables 91-112'!C16</f>
        <v>62.125286030135641</v>
      </c>
      <c r="I14" s="247">
        <f>+'NEW...Tables 91-112'!B263+'NEW...Tables 91-112'!C263</f>
        <v>0</v>
      </c>
      <c r="J14" s="245">
        <f>+'NEW...Tables 91-112'!B294+'NEW...Tables 91-112'!C294</f>
        <v>44.143373388796768</v>
      </c>
      <c r="K14" s="245">
        <f>+'NEW...Tables 91-112'!B325+'NEW...Tables 91-112'!C325</f>
        <v>51.917058056546786</v>
      </c>
      <c r="L14" s="245">
        <f>+'NEW...Tables 91-112'!B356+'NEW...Tables 91-112'!C356</f>
        <v>54.242141180507318</v>
      </c>
      <c r="M14" s="247">
        <f>+'NEW...Tables 91-112'!B232+'NEW...Tables 91-112'!C232</f>
        <v>48.840557955289995</v>
      </c>
      <c r="N14" s="248">
        <f>+'NEW...Tables 91-112'!B417+'NEW...Tables 91-112'!C417</f>
        <v>69.127552540240004</v>
      </c>
      <c r="O14" s="174">
        <f>+'NEW...Tables 91-112'!B447+'NEW...Tables 91-112'!C447</f>
        <v>91.390728476821195</v>
      </c>
      <c r="P14" s="247">
        <f>+'NEW...Tables 91-112'!B387+'NEW...Tables 91-112'!C387</f>
        <v>71.198370513246218</v>
      </c>
    </row>
    <row r="15" spans="1:33">
      <c r="A15" s="139" t="s">
        <v>625</v>
      </c>
      <c r="B15" s="245">
        <f>+'NEW...Tables 91-112'!B49+'NEW...Tables 91-112'!C49</f>
        <v>50.191269763976059</v>
      </c>
      <c r="C15" s="245">
        <f>+'NEW...Tables 91-112'!B80+'NEW...Tables 91-112'!C80</f>
        <v>54.495394543972708</v>
      </c>
      <c r="D15" s="245">
        <f>+'NEW...Tables 91-112'!B110+'NEW...Tables 91-112'!C110</f>
        <v>54.616663364886861</v>
      </c>
      <c r="E15" s="245">
        <f>+'NEW...Tables 91-112'!B141+'NEW...Tables 91-112'!C141</f>
        <v>51.060353290268459</v>
      </c>
      <c r="F15" s="245">
        <f>+'NEW...Tables 91-112'!B172+'NEW...Tables 91-112'!C172</f>
        <v>74.856268133354689</v>
      </c>
      <c r="G15" s="245">
        <f>+'NEW...Tables 91-112'!B202+'NEW...Tables 91-112'!C202</f>
        <v>77.434472059726573</v>
      </c>
      <c r="H15" s="250">
        <f>+'NEW...Tables 91-112'!B17+'NEW...Tables 91-112'!C17</f>
        <v>41.000029206460468</v>
      </c>
      <c r="I15" s="247">
        <f>+'NEW...Tables 91-112'!B264+'NEW...Tables 91-112'!C264</f>
        <v>0</v>
      </c>
      <c r="J15" s="245">
        <f>+'NEW...Tables 91-112'!B295+'NEW...Tables 91-112'!C295</f>
        <v>35.494103175996486</v>
      </c>
      <c r="K15" s="245">
        <f>+'NEW...Tables 91-112'!B326+'NEW...Tables 91-112'!C326</f>
        <v>42.169639833988342</v>
      </c>
      <c r="L15" s="245">
        <f>+'NEW...Tables 91-112'!B357+'NEW...Tables 91-112'!C357</f>
        <v>48.1015047317333</v>
      </c>
      <c r="M15" s="247">
        <f>+'NEW...Tables 91-112'!B233+'NEW...Tables 91-112'!C233</f>
        <v>37.868953209119667</v>
      </c>
      <c r="N15" s="248">
        <f>+'NEW...Tables 91-112'!B418+'NEW...Tables 91-112'!C418</f>
        <v>0</v>
      </c>
      <c r="O15" s="174">
        <f>+'NEW...Tables 91-112'!B448+'NEW...Tables 91-112'!C448</f>
        <v>0</v>
      </c>
      <c r="P15" s="247">
        <f>+'NEW...Tables 91-112'!B388+'NEW...Tables 91-112'!C388</f>
        <v>0</v>
      </c>
    </row>
    <row r="16" spans="1:33">
      <c r="A16" s="139"/>
      <c r="B16" s="245"/>
      <c r="C16" s="245"/>
      <c r="D16" s="245"/>
      <c r="E16" s="245"/>
      <c r="F16" s="245"/>
      <c r="G16" s="245"/>
      <c r="H16" s="250"/>
      <c r="I16" s="247"/>
      <c r="J16" s="245"/>
      <c r="K16" s="245"/>
      <c r="L16" s="245"/>
      <c r="M16" s="247"/>
      <c r="N16" s="248"/>
      <c r="O16" s="174"/>
      <c r="P16" s="247"/>
    </row>
    <row r="17" spans="1:25" ht="15.75" customHeight="1">
      <c r="A17" s="139" t="s">
        <v>626</v>
      </c>
      <c r="B17" s="245">
        <f>+'NEW...Tables 91-112'!B51+'NEW...Tables 91-112'!C51</f>
        <v>54.695269625689974</v>
      </c>
      <c r="C17" s="245">
        <f>+'NEW...Tables 91-112'!B82+'NEW...Tables 91-112'!C82</f>
        <v>36.3848709449423</v>
      </c>
      <c r="D17" s="245">
        <f>+'NEW...Tables 91-112'!B112+'NEW...Tables 91-112'!C112</f>
        <v>0</v>
      </c>
      <c r="E17" s="245">
        <f>+'NEW...Tables 91-112'!B143+'NEW...Tables 91-112'!C143</f>
        <v>55.248673387158078</v>
      </c>
      <c r="F17" s="245">
        <f>+'NEW...Tables 91-112'!B174+'NEW...Tables 91-112'!C174</f>
        <v>0</v>
      </c>
      <c r="G17" s="245">
        <f>+'NEW...Tables 91-112'!B204+'NEW...Tables 91-112'!C204</f>
        <v>0</v>
      </c>
      <c r="H17" s="250">
        <f>+'NEW...Tables 91-112'!B19+'NEW...Tables 91-112'!C19</f>
        <v>53.414044823521692</v>
      </c>
      <c r="I17" s="247">
        <f>+'NEW...Tables 91-112'!B266+'NEW...Tables 91-112'!C266</f>
        <v>0</v>
      </c>
      <c r="J17" s="245">
        <f>+'NEW...Tables 91-112'!B297+'NEW...Tables 91-112'!C297</f>
        <v>0</v>
      </c>
      <c r="K17" s="245">
        <f>+'NEW...Tables 91-112'!B328+'NEW...Tables 91-112'!C328</f>
        <v>0</v>
      </c>
      <c r="L17" s="245">
        <f>+'NEW...Tables 91-112'!B359+'NEW...Tables 91-112'!C359</f>
        <v>0</v>
      </c>
      <c r="M17" s="247">
        <f>+'NEW...Tables 91-112'!B235+'NEW...Tables 91-112'!C235</f>
        <v>0</v>
      </c>
      <c r="N17" s="248">
        <f>+'NEW...Tables 91-112'!B420+'NEW...Tables 91-112'!C420</f>
        <v>0</v>
      </c>
      <c r="O17" s="174">
        <f>+'NEW...Tables 91-112'!B450+'NEW...Tables 91-112'!C450</f>
        <v>0</v>
      </c>
      <c r="P17" s="247">
        <f>+'NEW...Tables 91-112'!B390+'NEW...Tables 91-112'!C390</f>
        <v>0</v>
      </c>
    </row>
    <row r="18" spans="1:25" ht="15.75" customHeight="1">
      <c r="A18" s="139" t="s">
        <v>627</v>
      </c>
      <c r="B18" s="245">
        <f>+'NEW...Tables 91-112'!B52+'NEW...Tables 91-112'!C52</f>
        <v>48.386807653369885</v>
      </c>
      <c r="C18" s="245">
        <f>+'NEW...Tables 91-112'!B83+'NEW...Tables 91-112'!C83</f>
        <v>48.872222011648915</v>
      </c>
      <c r="D18" s="245">
        <f>+'NEW...Tables 91-112'!B113+'NEW...Tables 91-112'!C113</f>
        <v>47.942889380622866</v>
      </c>
      <c r="E18" s="245">
        <f>+'NEW...Tables 91-112'!B144+'NEW...Tables 91-112'!C144</f>
        <v>37.151919399225712</v>
      </c>
      <c r="F18" s="245">
        <f>+'NEW...Tables 91-112'!B175+'NEW...Tables 91-112'!C175</f>
        <v>47.485024493561504</v>
      </c>
      <c r="G18" s="245">
        <f>+'NEW...Tables 91-112'!B205+'NEW...Tables 91-112'!C205</f>
        <v>64.625025543219124</v>
      </c>
      <c r="H18" s="250">
        <f>+'NEW...Tables 91-112'!B20+'NEW...Tables 91-112'!C20</f>
        <v>48.538177392751074</v>
      </c>
      <c r="I18" s="247">
        <f>+'NEW...Tables 91-112'!B267+'NEW...Tables 91-112'!C267</f>
        <v>0</v>
      </c>
      <c r="J18" s="245">
        <f>+'NEW...Tables 91-112'!B298+'NEW...Tables 91-112'!C298</f>
        <v>35.325452263836375</v>
      </c>
      <c r="K18" s="245">
        <f>+'NEW...Tables 91-112'!B329+'NEW...Tables 91-112'!C329</f>
        <v>36.563423275937389</v>
      </c>
      <c r="L18" s="245">
        <f>+'NEW...Tables 91-112'!B360+'NEW...Tables 91-112'!C360</f>
        <v>35.781808752456556</v>
      </c>
      <c r="M18" s="247">
        <f>+'NEW...Tables 91-112'!B236+'NEW...Tables 91-112'!C236</f>
        <v>35.854274087348223</v>
      </c>
      <c r="N18" s="248">
        <f>+'NEW...Tables 91-112'!B421+'NEW...Tables 91-112'!C421</f>
        <v>0</v>
      </c>
      <c r="O18" s="174">
        <f>+'NEW...Tables 91-112'!B451+'NEW...Tables 91-112'!C451</f>
        <v>0</v>
      </c>
      <c r="P18" s="247">
        <f>+'NEW...Tables 91-112'!B391+'NEW...Tables 91-112'!C391</f>
        <v>0</v>
      </c>
    </row>
    <row r="19" spans="1:25" ht="15.75" customHeight="1">
      <c r="A19" s="139" t="s">
        <v>628</v>
      </c>
      <c r="B19" s="245">
        <f>+'NEW...Tables 91-112'!B53+'NEW...Tables 91-112'!C53</f>
        <v>0</v>
      </c>
      <c r="C19" s="245">
        <f>+'NEW...Tables 91-112'!B84+'NEW...Tables 91-112'!C84</f>
        <v>0</v>
      </c>
      <c r="D19" s="245">
        <f>+'NEW...Tables 91-112'!B114+'NEW...Tables 91-112'!C114</f>
        <v>0</v>
      </c>
      <c r="E19" s="245">
        <f>+'NEW...Tables 91-112'!B145+'NEW...Tables 91-112'!C145</f>
        <v>0</v>
      </c>
      <c r="F19" s="245">
        <f>+'NEW...Tables 91-112'!B176+'NEW...Tables 91-112'!C176</f>
        <v>0</v>
      </c>
      <c r="G19" s="245">
        <f>+'NEW...Tables 91-112'!B206+'NEW...Tables 91-112'!C206</f>
        <v>0</v>
      </c>
      <c r="H19" s="250">
        <f>+'NEW...Tables 91-112'!B21+'NEW...Tables 91-112'!C21</f>
        <v>0</v>
      </c>
      <c r="I19" s="247">
        <f>+'NEW...Tables 91-112'!B268+'NEW...Tables 91-112'!C268</f>
        <v>0</v>
      </c>
      <c r="J19" s="245">
        <f>+'NEW...Tables 91-112'!B299+'NEW...Tables 91-112'!C299</f>
        <v>0</v>
      </c>
      <c r="K19" s="245">
        <f>+'NEW...Tables 91-112'!B330+'NEW...Tables 91-112'!C330</f>
        <v>0</v>
      </c>
      <c r="L19" s="245">
        <f>+'NEW...Tables 91-112'!B361+'NEW...Tables 91-112'!C361</f>
        <v>0</v>
      </c>
      <c r="M19" s="247">
        <f>+'NEW...Tables 91-112'!B237+'NEW...Tables 91-112'!C237</f>
        <v>0</v>
      </c>
      <c r="N19" s="248">
        <f>+'NEW...Tables 91-112'!B422+'NEW...Tables 91-112'!C422</f>
        <v>0</v>
      </c>
      <c r="O19" s="174">
        <f>+'NEW...Tables 91-112'!B452+'NEW...Tables 91-112'!C452</f>
        <v>0</v>
      </c>
      <c r="P19" s="247">
        <f>+'NEW...Tables 91-112'!B392+'NEW...Tables 91-112'!C392</f>
        <v>0</v>
      </c>
    </row>
    <row r="20" spans="1:25" ht="15.75" customHeight="1">
      <c r="A20" s="139" t="s">
        <v>629</v>
      </c>
      <c r="B20" s="245">
        <f>+'NEW...Tables 91-112'!B54+'NEW...Tables 91-112'!C54</f>
        <v>57.284763518780608</v>
      </c>
      <c r="C20" s="245">
        <f>+'NEW...Tables 91-112'!B85+'NEW...Tables 91-112'!C85</f>
        <v>0</v>
      </c>
      <c r="D20" s="245">
        <f>+'NEW...Tables 91-112'!B115+'NEW...Tables 91-112'!C115</f>
        <v>70.291472831973564</v>
      </c>
      <c r="E20" s="245">
        <f>+'NEW...Tables 91-112'!B146+'NEW...Tables 91-112'!C146</f>
        <v>76.247001552137718</v>
      </c>
      <c r="F20" s="245">
        <f>+'NEW...Tables 91-112'!B177+'NEW...Tables 91-112'!C177</f>
        <v>80.292009840624658</v>
      </c>
      <c r="G20" s="245">
        <f>+'NEW...Tables 91-112'!B207+'NEW...Tables 91-112'!C207</f>
        <v>51.483994256678692</v>
      </c>
      <c r="H20" s="250">
        <f>+'NEW...Tables 91-112'!B22+'NEW...Tables 91-112'!C22</f>
        <v>61.998079050416756</v>
      </c>
      <c r="I20" s="247">
        <f>+'NEW...Tables 91-112'!B269+'NEW...Tables 91-112'!C269</f>
        <v>0</v>
      </c>
      <c r="J20" s="245">
        <f>+'NEW...Tables 91-112'!B300+'NEW...Tables 91-112'!C300</f>
        <v>37.79965674762866</v>
      </c>
      <c r="K20" s="245">
        <f>+'NEW...Tables 91-112'!B331+'NEW...Tables 91-112'!C331</f>
        <v>36.946484821453467</v>
      </c>
      <c r="L20" s="245">
        <f>+'NEW...Tables 91-112'!B362+'NEW...Tables 91-112'!C362</f>
        <v>41.01201398746668</v>
      </c>
      <c r="M20" s="247">
        <f>+'NEW...Tables 91-112'!B238+'NEW...Tables 91-112'!C238</f>
        <v>38.060588157872012</v>
      </c>
      <c r="N20" s="248">
        <f>+'NEW...Tables 91-112'!B423+'NEW...Tables 91-112'!C423</f>
        <v>0</v>
      </c>
      <c r="O20" s="174">
        <f>+'NEW...Tables 91-112'!B453+'NEW...Tables 91-112'!C453</f>
        <v>0</v>
      </c>
      <c r="P20" s="247">
        <f>+'NEW...Tables 91-112'!B393+'NEW...Tables 91-112'!C393</f>
        <v>0</v>
      </c>
    </row>
    <row r="21" spans="1:25" ht="15.75" customHeight="1">
      <c r="A21" s="139"/>
      <c r="B21" s="245"/>
      <c r="C21" s="245"/>
      <c r="D21" s="245"/>
      <c r="E21" s="245"/>
      <c r="F21" s="245"/>
      <c r="G21" s="245"/>
      <c r="H21" s="250"/>
      <c r="I21" s="247"/>
      <c r="J21" s="245"/>
      <c r="K21" s="245"/>
      <c r="L21" s="245"/>
      <c r="M21" s="247"/>
      <c r="N21" s="248"/>
      <c r="O21" s="174"/>
      <c r="P21" s="247"/>
    </row>
    <row r="22" spans="1:25" ht="15.75" customHeight="1">
      <c r="A22" s="139" t="s">
        <v>630</v>
      </c>
      <c r="B22" s="245">
        <f>+'NEW...Tables 91-112'!B56+'NEW...Tables 91-112'!C56</f>
        <v>77.250516508969682</v>
      </c>
      <c r="C22" s="245">
        <f>+'NEW...Tables 91-112'!B87+'NEW...Tables 91-112'!C87</f>
        <v>56.312554477716859</v>
      </c>
      <c r="D22" s="245">
        <f>+'NEW...Tables 91-112'!B117+'NEW...Tables 91-112'!C117</f>
        <v>41.011429861009702</v>
      </c>
      <c r="E22" s="245">
        <f>+'NEW...Tables 91-112'!B148+'NEW...Tables 91-112'!C148</f>
        <v>55.419312458944596</v>
      </c>
      <c r="F22" s="245">
        <f>+'NEW...Tables 91-112'!B179+'NEW...Tables 91-112'!C179</f>
        <v>0</v>
      </c>
      <c r="G22" s="245">
        <f>+'NEW...Tables 91-112'!B209+'NEW...Tables 91-112'!C209</f>
        <v>0</v>
      </c>
      <c r="H22" s="250">
        <f>+'NEW...Tables 91-112'!B24+'NEW...Tables 91-112'!C24</f>
        <v>60.151742631428483</v>
      </c>
      <c r="I22" s="247">
        <f>+'NEW...Tables 91-112'!B271+'NEW...Tables 91-112'!C271</f>
        <v>0</v>
      </c>
      <c r="J22" s="245">
        <f>+'NEW...Tables 91-112'!B302+'NEW...Tables 91-112'!C302</f>
        <v>34.809844447130345</v>
      </c>
      <c r="K22" s="245">
        <f>+'NEW...Tables 91-112'!B333+'NEW...Tables 91-112'!C333</f>
        <v>43.575731569187283</v>
      </c>
      <c r="L22" s="245">
        <f>+'NEW...Tables 91-112'!B364+'NEW...Tables 91-112'!C364</f>
        <v>59.567296386297727</v>
      </c>
      <c r="M22" s="247">
        <f>+'NEW...Tables 91-112'!B240+'NEW...Tables 91-112'!C240</f>
        <v>39.569684537130129</v>
      </c>
      <c r="N22" s="248">
        <f>+'NEW...Tables 91-112'!B425+'NEW...Tables 91-112'!C425</f>
        <v>0</v>
      </c>
      <c r="O22" s="174">
        <f>+'NEW...Tables 91-112'!B455+'NEW...Tables 91-112'!C455</f>
        <v>0</v>
      </c>
      <c r="P22" s="247">
        <f>+'NEW...Tables 91-112'!B395+'NEW...Tables 91-112'!C395</f>
        <v>0</v>
      </c>
    </row>
    <row r="23" spans="1:25" ht="15.75" customHeight="1">
      <c r="A23" s="139" t="s">
        <v>631</v>
      </c>
      <c r="B23" s="245">
        <f>+'NEW...Tables 91-112'!B57+'NEW...Tables 91-112'!C57</f>
        <v>46.100644786524953</v>
      </c>
      <c r="C23" s="245">
        <f>+'NEW...Tables 91-112'!B88+'NEW...Tables 91-112'!C88</f>
        <v>47.741286066165699</v>
      </c>
      <c r="D23" s="245">
        <f>+'NEW...Tables 91-112'!B118+'NEW...Tables 91-112'!C118</f>
        <v>42.487134708536857</v>
      </c>
      <c r="E23" s="245">
        <f>+'NEW...Tables 91-112'!B149+'NEW...Tables 91-112'!C149</f>
        <v>26.974476426221198</v>
      </c>
      <c r="F23" s="245">
        <f>+'NEW...Tables 91-112'!B180+'NEW...Tables 91-112'!C180</f>
        <v>53.67890657503429</v>
      </c>
      <c r="G23" s="245">
        <f>+'NEW...Tables 91-112'!B210+'NEW...Tables 91-112'!C210</f>
        <v>0</v>
      </c>
      <c r="H23" s="250">
        <f>+'NEW...Tables 91-112'!B25+'NEW...Tables 91-112'!C25</f>
        <v>44.384189192031641</v>
      </c>
      <c r="I23" s="247">
        <f>+'NEW...Tables 91-112'!B272+'NEW...Tables 91-112'!C272</f>
        <v>36.998416493142379</v>
      </c>
      <c r="J23" s="245">
        <f>+'NEW...Tables 91-112'!B303+'NEW...Tables 91-112'!C303</f>
        <v>43.145117339067852</v>
      </c>
      <c r="K23" s="245">
        <f>+'NEW...Tables 91-112'!B334+'NEW...Tables 91-112'!C334</f>
        <v>41.102180286174693</v>
      </c>
      <c r="L23" s="245">
        <f>+'NEW...Tables 91-112'!B365+'NEW...Tables 91-112'!C365</f>
        <v>21.233638529363091</v>
      </c>
      <c r="M23" s="247">
        <f>+'NEW...Tables 91-112'!B241+'NEW...Tables 91-112'!C241</f>
        <v>41.168408960513254</v>
      </c>
      <c r="N23" s="248">
        <f>+'NEW...Tables 91-112'!B426+'NEW...Tables 91-112'!C426</f>
        <v>0</v>
      </c>
      <c r="O23" s="174">
        <f>+'NEW...Tables 91-112'!B456+'NEW...Tables 91-112'!C456</f>
        <v>0</v>
      </c>
      <c r="P23" s="247">
        <f>+'NEW...Tables 91-112'!B396+'NEW...Tables 91-112'!C396</f>
        <v>0</v>
      </c>
    </row>
    <row r="24" spans="1:25" ht="15.75" customHeight="1">
      <c r="A24" s="139" t="s">
        <v>632</v>
      </c>
      <c r="B24" s="245">
        <f>+'NEW...Tables 91-112'!B58+'NEW...Tables 91-112'!C58</f>
        <v>55.915634449100843</v>
      </c>
      <c r="C24" s="245">
        <f>+'NEW...Tables 91-112'!B89+'NEW...Tables 91-112'!C89</f>
        <v>56.842622931068568</v>
      </c>
      <c r="D24" s="245">
        <f>+'NEW...Tables 91-112'!B119+'NEW...Tables 91-112'!C119</f>
        <v>59.380352164279735</v>
      </c>
      <c r="E24" s="245">
        <f>+'NEW...Tables 91-112'!B150+'NEW...Tables 91-112'!C150</f>
        <v>68.202950249265371</v>
      </c>
      <c r="F24" s="245">
        <f>+'NEW...Tables 91-112'!B181+'NEW...Tables 91-112'!C181</f>
        <v>66.516601476663439</v>
      </c>
      <c r="G24" s="245">
        <f>+'NEW...Tables 91-112'!B211+'NEW...Tables 91-112'!C211</f>
        <v>72.946902075467577</v>
      </c>
      <c r="H24" s="250">
        <f>+'NEW...Tables 91-112'!B26+'NEW...Tables 91-112'!C26</f>
        <v>57.864750660482422</v>
      </c>
      <c r="I24" s="247">
        <f>+'NEW...Tables 91-112'!B273+'NEW...Tables 91-112'!C273</f>
        <v>0</v>
      </c>
      <c r="J24" s="245">
        <f>+'NEW...Tables 91-112'!B304+'NEW...Tables 91-112'!C304</f>
        <v>44.694530419919616</v>
      </c>
      <c r="K24" s="245">
        <f>+'NEW...Tables 91-112'!B335+'NEW...Tables 91-112'!C335</f>
        <v>40.204358977268861</v>
      </c>
      <c r="L24" s="245">
        <f>+'NEW...Tables 91-112'!B366+'NEW...Tables 91-112'!C366</f>
        <v>42.813816018235912</v>
      </c>
      <c r="M24" s="247">
        <f>+'NEW...Tables 91-112'!B242+'NEW...Tables 91-112'!C242</f>
        <v>43.311021655493285</v>
      </c>
      <c r="N24" s="248">
        <f>+'NEW...Tables 91-112'!B427+'NEW...Tables 91-112'!C427</f>
        <v>0</v>
      </c>
      <c r="O24" s="174">
        <f>+'NEW...Tables 91-112'!B457+'NEW...Tables 91-112'!C457</f>
        <v>0</v>
      </c>
      <c r="P24" s="247">
        <f>+'NEW...Tables 91-112'!B397+'NEW...Tables 91-112'!C397</f>
        <v>0</v>
      </c>
    </row>
    <row r="25" spans="1:25" ht="15.75" customHeight="1">
      <c r="A25" s="145" t="s">
        <v>633</v>
      </c>
      <c r="B25" s="251">
        <f>+'NEW...Tables 91-112'!B59+'NEW...Tables 91-112'!C59</f>
        <v>56.548339844565554</v>
      </c>
      <c r="C25" s="251">
        <f>+'NEW...Tables 91-112'!B90+'NEW...Tables 91-112'!C90</f>
        <v>0</v>
      </c>
      <c r="D25" s="251">
        <f>+'NEW...Tables 91-112'!B120+'NEW...Tables 91-112'!C120</f>
        <v>51.784761352510849</v>
      </c>
      <c r="E25" s="251">
        <f>+'NEW...Tables 91-112'!B151+'NEW...Tables 91-112'!C151</f>
        <v>0</v>
      </c>
      <c r="F25" s="251">
        <f>+'NEW...Tables 91-112'!B182+'NEW...Tables 91-112'!C182</f>
        <v>62.835377889550102</v>
      </c>
      <c r="G25" s="251">
        <f>+'NEW...Tables 91-112'!B212+'NEW...Tables 91-112'!C212</f>
        <v>61.744601612287617</v>
      </c>
      <c r="H25" s="252">
        <f>+'NEW...Tables 91-112'!B27+'NEW...Tables 91-112'!C27</f>
        <v>57.705483989120857</v>
      </c>
      <c r="I25" s="253">
        <f>+'NEW...Tables 91-112'!B274+'NEW...Tables 91-112'!C274</f>
        <v>62.187284962853241</v>
      </c>
      <c r="J25" s="251">
        <f>+'NEW...Tables 91-112'!B305+'NEW...Tables 91-112'!C305</f>
        <v>0</v>
      </c>
      <c r="K25" s="251">
        <f>+'NEW...Tables 91-112'!B336+'NEW...Tables 91-112'!C336</f>
        <v>44.816329741209785</v>
      </c>
      <c r="L25" s="251">
        <f>+'NEW...Tables 91-112'!B367+'NEW...Tables 91-112'!C367</f>
        <v>48.658138951592676</v>
      </c>
      <c r="M25" s="253">
        <f>+'NEW...Tables 91-112'!B243+'NEW...Tables 91-112'!C243</f>
        <v>51.529574957656507</v>
      </c>
      <c r="N25" s="255">
        <f>+'NEW...Tables 91-112'!B428+'NEW...Tables 91-112'!C428</f>
        <v>0</v>
      </c>
      <c r="O25" s="184">
        <f>+'NEW...Tables 91-112'!B458+'NEW...Tables 91-112'!C458</f>
        <v>0</v>
      </c>
      <c r="P25" s="253">
        <f>+'NEW...Tables 91-112'!B398+'NEW...Tables 91-112'!C398</f>
        <v>0</v>
      </c>
      <c r="R25" s="269"/>
      <c r="S25" s="269"/>
      <c r="T25" s="269"/>
      <c r="U25" s="278"/>
      <c r="V25" s="278"/>
      <c r="W25" s="278"/>
    </row>
    <row r="26" spans="1:25" s="186" customFormat="1" ht="29.25" customHeight="1">
      <c r="A26" s="488" t="s">
        <v>761</v>
      </c>
      <c r="B26" s="488"/>
      <c r="C26" s="488"/>
      <c r="D26" s="488"/>
      <c r="E26" s="488"/>
      <c r="F26" s="488"/>
      <c r="G26" s="488"/>
      <c r="H26" s="488"/>
      <c r="I26" s="488"/>
      <c r="J26" s="488"/>
      <c r="K26" s="488"/>
      <c r="L26" s="488"/>
      <c r="M26" s="488"/>
      <c r="N26" s="488"/>
      <c r="O26" s="488"/>
      <c r="P26" s="488"/>
    </row>
    <row r="27" spans="1:25" s="186" customFormat="1" ht="10"/>
    <row r="28" spans="1:25" s="186" customFormat="1" ht="10">
      <c r="M28" s="256"/>
      <c r="P28" s="192" t="s">
        <v>923</v>
      </c>
    </row>
    <row r="29" spans="1:25" ht="18">
      <c r="A29" s="484" t="s">
        <v>686</v>
      </c>
      <c r="B29" s="484"/>
      <c r="C29" s="484"/>
      <c r="D29" s="484"/>
      <c r="E29" s="484"/>
      <c r="F29" s="484"/>
      <c r="G29" s="484"/>
      <c r="H29" s="484"/>
      <c r="I29" s="484"/>
      <c r="J29" s="484"/>
      <c r="K29" s="484"/>
      <c r="L29" s="484"/>
      <c r="M29" s="484"/>
      <c r="N29" s="484"/>
      <c r="O29" s="484"/>
      <c r="P29" s="484"/>
    </row>
    <row r="30" spans="1:25" s="139" customFormat="1" ht="13">
      <c r="A30" s="140"/>
      <c r="B30" s="136"/>
      <c r="C30" s="136"/>
      <c r="D30" s="136"/>
      <c r="E30" s="136"/>
      <c r="F30" s="136"/>
      <c r="G30" s="136"/>
      <c r="H30" s="136"/>
      <c r="I30" s="136"/>
      <c r="J30" s="136"/>
      <c r="K30" s="136"/>
      <c r="L30" s="136"/>
      <c r="M30" s="136"/>
    </row>
    <row r="31" spans="1:25" ht="15.5">
      <c r="A31" s="483" t="s">
        <v>878</v>
      </c>
      <c r="B31" s="483"/>
      <c r="C31" s="483"/>
      <c r="D31" s="483"/>
      <c r="E31" s="483"/>
      <c r="F31" s="483"/>
      <c r="G31" s="483"/>
      <c r="H31" s="483"/>
      <c r="I31" s="483"/>
      <c r="J31" s="483"/>
      <c r="K31" s="483"/>
      <c r="L31" s="483"/>
      <c r="M31" s="483"/>
      <c r="N31" s="483"/>
      <c r="O31" s="483"/>
      <c r="P31" s="483"/>
      <c r="Q31" s="139"/>
      <c r="R31" s="240"/>
      <c r="S31" s="139"/>
      <c r="T31" s="139"/>
      <c r="U31" s="139"/>
      <c r="V31" s="139"/>
      <c r="W31" s="139"/>
      <c r="X31" s="139"/>
      <c r="Y31" s="139"/>
    </row>
    <row r="32" spans="1:25" s="139" customFormat="1" ht="9.75" customHeight="1">
      <c r="A32" s="140"/>
      <c r="B32" s="136"/>
      <c r="C32" s="136"/>
      <c r="D32" s="136"/>
      <c r="E32" s="136"/>
      <c r="F32" s="136"/>
      <c r="G32" s="136"/>
      <c r="H32" s="136"/>
      <c r="I32" s="136"/>
      <c r="J32" s="136"/>
      <c r="K32" s="136"/>
      <c r="L32" s="136"/>
      <c r="M32" s="136"/>
    </row>
    <row r="33" spans="1:39" s="240" customFormat="1" ht="18" customHeight="1">
      <c r="A33" s="274"/>
      <c r="B33" s="151" t="s">
        <v>517</v>
      </c>
      <c r="C33" s="151"/>
      <c r="D33" s="151"/>
      <c r="E33" s="151"/>
      <c r="F33" s="151"/>
      <c r="G33" s="151"/>
      <c r="H33" s="163"/>
      <c r="I33" s="162" t="s">
        <v>520</v>
      </c>
      <c r="J33" s="151"/>
      <c r="K33" s="151"/>
      <c r="L33" s="151"/>
      <c r="M33" s="151"/>
      <c r="N33" s="162" t="s">
        <v>536</v>
      </c>
      <c r="O33" s="151"/>
      <c r="P33" s="151"/>
      <c r="Q33" s="280" t="s">
        <v>695</v>
      </c>
      <c r="R33" s="281"/>
      <c r="S33" s="281"/>
    </row>
    <row r="34" spans="1:39" s="244" customFormat="1" ht="26.25" customHeight="1">
      <c r="A34" s="275"/>
      <c r="B34" s="157">
        <v>1</v>
      </c>
      <c r="C34" s="157">
        <v>2</v>
      </c>
      <c r="D34" s="157">
        <v>3</v>
      </c>
      <c r="E34" s="157">
        <v>4</v>
      </c>
      <c r="F34" s="157">
        <v>5</v>
      </c>
      <c r="G34" s="157">
        <v>6</v>
      </c>
      <c r="H34" s="276" t="s">
        <v>694</v>
      </c>
      <c r="I34" s="277" t="s">
        <v>684</v>
      </c>
      <c r="J34" s="157">
        <v>1</v>
      </c>
      <c r="K34" s="157">
        <v>2</v>
      </c>
      <c r="L34" s="157">
        <v>3</v>
      </c>
      <c r="M34" s="156" t="s">
        <v>685</v>
      </c>
      <c r="N34" s="156">
        <v>1</v>
      </c>
      <c r="O34" s="157">
        <v>2</v>
      </c>
      <c r="P34" s="156" t="s">
        <v>685</v>
      </c>
      <c r="Q34" s="280" t="s">
        <v>696</v>
      </c>
      <c r="R34" s="280" t="s">
        <v>697</v>
      </c>
      <c r="S34" s="280" t="s">
        <v>616</v>
      </c>
    </row>
    <row r="35" spans="1:39" ht="15.75" customHeight="1">
      <c r="A35" s="139" t="s">
        <v>618</v>
      </c>
      <c r="B35" s="245">
        <f>+'NEW...Tables 91-112'!D41</f>
        <v>27.545211207926926</v>
      </c>
      <c r="C35" s="245">
        <f>+'NEW...Tables 91-112'!D72</f>
        <v>33.780645732564444</v>
      </c>
      <c r="D35" s="245">
        <f>+'NEW...Tables 91-112'!D102</f>
        <v>48.522980443931019</v>
      </c>
      <c r="E35" s="245">
        <f>+'NEW...Tables 91-112'!D133</f>
        <v>49.327760161429808</v>
      </c>
      <c r="F35" s="245">
        <f>+'NEW...Tables 91-112'!D164</f>
        <v>30.981368454866686</v>
      </c>
      <c r="G35" s="245">
        <f>+'NEW...Tables 91-112'!D194</f>
        <v>87.023628341711628</v>
      </c>
      <c r="H35" s="250">
        <f>+'NEW...Tables 91-112'!D9</f>
        <v>35.807469623403982</v>
      </c>
      <c r="I35" s="247">
        <f>+'NEW...Tables 91-112'!D256</f>
        <v>0</v>
      </c>
      <c r="J35" s="245">
        <f>+'NEW...Tables 91-112'!D287</f>
        <v>55.937206439700695</v>
      </c>
      <c r="K35" s="245">
        <f>+'NEW...Tables 91-112'!D318</f>
        <v>43.753211801416633</v>
      </c>
      <c r="L35" s="245">
        <f>+'NEW...Tables 91-112'!D349</f>
        <v>56.34014951248178</v>
      </c>
      <c r="M35" s="247">
        <f>+'NEW...Tables 91-112'!D225</f>
        <v>50.036157330192118</v>
      </c>
      <c r="N35" s="248">
        <f>+'NEW...Tables 91-112'!D410</f>
        <v>54.418695993715637</v>
      </c>
      <c r="O35" s="174">
        <f>+'NEW...Tables 91-112'!D440</f>
        <v>15.449997310237237</v>
      </c>
      <c r="P35" s="247">
        <f>+'NEW...Tables 91-112'!D380</f>
        <v>35.824113766460457</v>
      </c>
      <c r="Q35" s="282">
        <f>+'NEW...Tables 87-90'!H35-'OLD...Tables'!H34</f>
        <v>16.398997200315296</v>
      </c>
      <c r="R35" s="282">
        <f>+'NEW...Tables 87-90'!M35-'OLD...Tables'!M34</f>
        <v>19.095919289354949</v>
      </c>
      <c r="S35" s="282">
        <f>+'NEW...Tables 87-90'!P35-'OLD...Tables'!P34</f>
        <v>22.472819217428572</v>
      </c>
      <c r="T35" s="174"/>
      <c r="U35" s="283"/>
      <c r="V35" s="283"/>
      <c r="W35" s="283"/>
      <c r="X35" s="139"/>
      <c r="Y35" s="174"/>
      <c r="Z35" s="174"/>
      <c r="AA35" s="174"/>
      <c r="AC35" s="139"/>
      <c r="AD35" s="174"/>
      <c r="AE35" s="174"/>
      <c r="AF35" s="174"/>
      <c r="AG35" s="283"/>
      <c r="AH35" s="283"/>
      <c r="AI35" s="283"/>
      <c r="AJ35" s="139"/>
      <c r="AK35" s="174"/>
      <c r="AL35" s="174"/>
      <c r="AM35" s="174"/>
    </row>
    <row r="36" spans="1:39" ht="15.75" customHeight="1">
      <c r="A36" s="139" t="s">
        <v>619</v>
      </c>
      <c r="B36" s="245">
        <f>+'NEW...Tables 91-112'!D42</f>
        <v>12.960289632407189</v>
      </c>
      <c r="C36" s="245">
        <f>+'NEW...Tables 91-112'!D73</f>
        <v>45.292012211526092</v>
      </c>
      <c r="D36" s="245">
        <f>+'NEW...Tables 91-112'!D103</f>
        <v>27.774473153275714</v>
      </c>
      <c r="E36" s="245">
        <f>+'NEW...Tables 91-112'!D134</f>
        <v>24.408856321159831</v>
      </c>
      <c r="F36" s="245">
        <f>+'NEW...Tables 91-112'!D165</f>
        <v>0</v>
      </c>
      <c r="G36" s="245">
        <f>+'NEW...Tables 91-112'!D195</f>
        <v>29.098932264820718</v>
      </c>
      <c r="H36" s="250">
        <f>+'NEW...Tables 91-112'!D10</f>
        <v>24.322885025780018</v>
      </c>
      <c r="I36" s="247">
        <f>+'NEW...Tables 91-112'!D257</f>
        <v>0</v>
      </c>
      <c r="J36" s="245">
        <f>+'NEW...Tables 91-112'!D288</f>
        <v>35.325721074516537</v>
      </c>
      <c r="K36" s="245">
        <f>+'NEW...Tables 91-112'!D319</f>
        <v>37.219601374281602</v>
      </c>
      <c r="L36" s="245">
        <f>+'NEW...Tables 91-112'!D350</f>
        <v>35.869751646542262</v>
      </c>
      <c r="M36" s="247">
        <f>+'NEW...Tables 91-112'!D226</f>
        <v>36.058444984560559</v>
      </c>
      <c r="N36" s="248">
        <f>+'NEW...Tables 91-112'!D411</f>
        <v>0</v>
      </c>
      <c r="O36" s="174">
        <f>+'NEW...Tables 91-112'!D441</f>
        <v>0</v>
      </c>
      <c r="P36" s="247">
        <f>+'NEW...Tables 91-112'!D381</f>
        <v>0</v>
      </c>
      <c r="Q36" s="282">
        <f>+'NEW...Tables 87-90'!H36-'OLD...Tables'!H35</f>
        <v>3.9256510233028337</v>
      </c>
      <c r="R36" s="282">
        <f>+'NEW...Tables 87-90'!M36-'OLD...Tables'!M35</f>
        <v>5.2372598228344884</v>
      </c>
      <c r="S36" s="282">
        <f>+'NEW...Tables 87-90'!P36-'OLD...Tables'!P35</f>
        <v>0</v>
      </c>
      <c r="T36" s="174"/>
      <c r="U36" s="283"/>
      <c r="V36" s="283"/>
      <c r="W36" s="283"/>
      <c r="X36" s="139"/>
      <c r="Y36" s="174"/>
      <c r="Z36" s="174"/>
      <c r="AA36" s="174"/>
      <c r="AC36" s="139"/>
      <c r="AD36" s="174"/>
      <c r="AE36" s="174"/>
      <c r="AF36" s="174"/>
      <c r="AG36" s="283"/>
      <c r="AH36" s="283"/>
      <c r="AI36" s="283"/>
      <c r="AJ36" s="139"/>
      <c r="AK36" s="174"/>
      <c r="AL36" s="174"/>
      <c r="AM36" s="174"/>
    </row>
    <row r="37" spans="1:39" ht="15.75" customHeight="1">
      <c r="A37" s="139" t="s">
        <v>620</v>
      </c>
      <c r="B37" s="245">
        <f>+'NEW...Tables 91-112'!D43</f>
        <v>50.920228034071911</v>
      </c>
      <c r="C37" s="245">
        <f>+'NEW...Tables 91-112'!D74</f>
        <v>0</v>
      </c>
      <c r="D37" s="245">
        <f>+'NEW...Tables 91-112'!D104</f>
        <v>20.703688518366665</v>
      </c>
      <c r="E37" s="245">
        <f>+'NEW...Tables 91-112'!D135</f>
        <v>0</v>
      </c>
      <c r="F37" s="245">
        <f>+'NEW...Tables 91-112'!D166</f>
        <v>0</v>
      </c>
      <c r="G37" s="245">
        <f>+'NEW...Tables 91-112'!D196</f>
        <v>0</v>
      </c>
      <c r="H37" s="250">
        <f>+'NEW...Tables 91-112'!D11</f>
        <v>45.485840850559455</v>
      </c>
      <c r="I37" s="247">
        <f>+'NEW...Tables 91-112'!D258</f>
        <v>0</v>
      </c>
      <c r="J37" s="245">
        <f>+'NEW...Tables 91-112'!D289</f>
        <v>0</v>
      </c>
      <c r="K37" s="245">
        <f>+'NEW...Tables 91-112'!D320</f>
        <v>25.844194251106913</v>
      </c>
      <c r="L37" s="245">
        <f>+'NEW...Tables 91-112'!D351</f>
        <v>0</v>
      </c>
      <c r="M37" s="247">
        <f>+'NEW...Tables 91-112'!D227</f>
        <v>25.844194251106913</v>
      </c>
      <c r="N37" s="248">
        <f>+'NEW...Tables 91-112'!D412</f>
        <v>0</v>
      </c>
      <c r="O37" s="174">
        <f>+'NEW...Tables 91-112'!D442</f>
        <v>0</v>
      </c>
      <c r="P37" s="247">
        <f>+'NEW...Tables 91-112'!D382</f>
        <v>0</v>
      </c>
      <c r="Q37" s="282">
        <f>+'NEW...Tables 87-90'!H37-'OLD...Tables'!H36</f>
        <v>39.967571722896899</v>
      </c>
      <c r="R37" s="282">
        <f>+'NEW...Tables 87-90'!M37-'OLD...Tables'!M36</f>
        <v>4.7153463872800074</v>
      </c>
      <c r="S37" s="282">
        <f>+'NEW...Tables 87-90'!P37-'OLD...Tables'!P36</f>
        <v>0</v>
      </c>
      <c r="T37" s="174"/>
      <c r="U37" s="283"/>
      <c r="V37" s="284"/>
      <c r="W37" s="283"/>
      <c r="X37" s="139"/>
      <c r="Y37" s="174"/>
      <c r="Z37" s="174"/>
      <c r="AA37" s="174"/>
      <c r="AC37" s="139"/>
      <c r="AD37" s="174"/>
      <c r="AE37" s="174"/>
      <c r="AF37" s="174"/>
      <c r="AG37" s="283"/>
      <c r="AH37" s="283"/>
      <c r="AI37" s="283"/>
      <c r="AJ37" s="139"/>
      <c r="AK37" s="174"/>
      <c r="AL37" s="174"/>
      <c r="AM37" s="174"/>
    </row>
    <row r="38" spans="1:39" ht="15.75" customHeight="1">
      <c r="A38" s="139" t="s">
        <v>657</v>
      </c>
      <c r="B38" s="245">
        <f>+'NEW...Tables 91-112'!D44</f>
        <v>0</v>
      </c>
      <c r="C38" s="245">
        <f>+'NEW...Tables 91-112'!D75</f>
        <v>0</v>
      </c>
      <c r="D38" s="245">
        <f>+'NEW...Tables 91-112'!D105</f>
        <v>0</v>
      </c>
      <c r="E38" s="245">
        <f>+'NEW...Tables 91-112'!D136</f>
        <v>0</v>
      </c>
      <c r="F38" s="245">
        <f>+'NEW...Tables 91-112'!D167</f>
        <v>0</v>
      </c>
      <c r="G38" s="245">
        <f>+'NEW...Tables 91-112'!D197</f>
        <v>0</v>
      </c>
      <c r="H38" s="250">
        <f>+'NEW...Tables 91-112'!D12</f>
        <v>0</v>
      </c>
      <c r="I38" s="247">
        <f>+'NEW...Tables 91-112'!D259</f>
        <v>61.260323965011061</v>
      </c>
      <c r="J38" s="245">
        <f>+'NEW...Tables 91-112'!D290</f>
        <v>63.632080653232606</v>
      </c>
      <c r="K38" s="245">
        <f>+'NEW...Tables 91-112'!D321</f>
        <v>0</v>
      </c>
      <c r="L38" s="245">
        <f>+'NEW...Tables 91-112'!D352</f>
        <v>56.965046090496472</v>
      </c>
      <c r="M38" s="247">
        <f>+'NEW...Tables 91-112'!D228</f>
        <v>61.461414273425831</v>
      </c>
      <c r="N38" s="248">
        <f>+'NEW...Tables 91-112'!D413</f>
        <v>0</v>
      </c>
      <c r="O38" s="174">
        <f>+'NEW...Tables 91-112'!D443</f>
        <v>0</v>
      </c>
      <c r="P38" s="247">
        <f>+'NEW...Tables 91-112'!D383</f>
        <v>0</v>
      </c>
      <c r="Q38" s="282">
        <f>+'NEW...Tables 87-90'!H38-'OLD...Tables'!H37</f>
        <v>0</v>
      </c>
      <c r="R38" s="282">
        <f>+'NEW...Tables 87-90'!M38-'OLD...Tables'!M37</f>
        <v>31.457215347954005</v>
      </c>
      <c r="S38" s="282">
        <f>+'NEW...Tables 87-90'!P38-'OLD...Tables'!P37</f>
        <v>0</v>
      </c>
      <c r="T38" s="174"/>
      <c r="U38" s="283"/>
      <c r="V38" s="283"/>
      <c r="W38" s="283"/>
      <c r="X38" s="139"/>
      <c r="Y38" s="174"/>
      <c r="Z38" s="174"/>
      <c r="AA38" s="174"/>
      <c r="AC38" s="139"/>
      <c r="AD38" s="174"/>
      <c r="AE38" s="174"/>
      <c r="AF38" s="174"/>
      <c r="AG38" s="283"/>
      <c r="AH38" s="283"/>
      <c r="AI38" s="283"/>
      <c r="AJ38" s="139"/>
      <c r="AK38" s="174"/>
      <c r="AL38" s="174"/>
      <c r="AM38" s="174"/>
    </row>
    <row r="39" spans="1:39" ht="15.75" customHeight="1">
      <c r="A39" s="139"/>
      <c r="B39" s="245"/>
      <c r="C39" s="245"/>
      <c r="D39" s="245"/>
      <c r="E39" s="245"/>
      <c r="F39" s="245"/>
      <c r="G39" s="245"/>
      <c r="H39" s="250"/>
      <c r="I39" s="247"/>
      <c r="J39" s="245"/>
      <c r="K39" s="245"/>
      <c r="L39" s="245"/>
      <c r="M39" s="247"/>
      <c r="N39" s="248"/>
      <c r="O39" s="174"/>
      <c r="P39" s="247"/>
      <c r="Q39" s="282"/>
      <c r="R39" s="282"/>
      <c r="S39" s="282"/>
      <c r="T39" s="174"/>
      <c r="U39" s="283"/>
      <c r="V39" s="283"/>
      <c r="W39" s="283"/>
      <c r="X39" s="139"/>
      <c r="Y39" s="174"/>
      <c r="Z39" s="174"/>
      <c r="AA39" s="174"/>
      <c r="AC39" s="139"/>
      <c r="AD39" s="174"/>
      <c r="AE39" s="174"/>
      <c r="AF39" s="174"/>
      <c r="AG39" s="283"/>
      <c r="AH39" s="283"/>
      <c r="AI39" s="283"/>
      <c r="AJ39" s="139"/>
      <c r="AK39" s="174"/>
      <c r="AL39" s="174"/>
      <c r="AM39" s="174"/>
    </row>
    <row r="40" spans="1:39" ht="15.75" customHeight="1">
      <c r="A40" s="139" t="s">
        <v>622</v>
      </c>
      <c r="B40" s="245">
        <f>+'NEW...Tables 91-112'!D46</f>
        <v>42.102717092495674</v>
      </c>
      <c r="C40" s="245">
        <f>+'NEW...Tables 91-112'!D77</f>
        <v>56.951266071618534</v>
      </c>
      <c r="D40" s="245">
        <f>+'NEW...Tables 91-112'!D107</f>
        <v>49.105302148771457</v>
      </c>
      <c r="E40" s="245">
        <f>+'NEW...Tables 91-112'!D138</f>
        <v>39.325934120731382</v>
      </c>
      <c r="F40" s="245">
        <f>+'NEW...Tables 91-112'!D169</f>
        <v>46.845041010837583</v>
      </c>
      <c r="G40" s="245">
        <f>+'NEW...Tables 91-112'!D199</f>
        <v>37.103346459622522</v>
      </c>
      <c r="H40" s="250">
        <f>+'NEW...Tables 91-112'!D14</f>
        <v>44.486542111292465</v>
      </c>
      <c r="I40" s="247">
        <f>+'NEW...Tables 91-112'!D261</f>
        <v>52.227072974329538</v>
      </c>
      <c r="J40" s="245">
        <f>+'NEW...Tables 91-112'!D292</f>
        <v>0</v>
      </c>
      <c r="K40" s="245">
        <f>+'NEW...Tables 91-112'!D323</f>
        <v>0</v>
      </c>
      <c r="L40" s="245">
        <f>+'NEW...Tables 91-112'!D354</f>
        <v>0</v>
      </c>
      <c r="M40" s="247">
        <f>+'NEW...Tables 91-112'!D230</f>
        <v>52.227072974329538</v>
      </c>
      <c r="N40" s="248">
        <f>+'NEW...Tables 91-112'!D415</f>
        <v>55.733665990158819</v>
      </c>
      <c r="O40" s="174">
        <f>+'NEW...Tables 91-112'!D445</f>
        <v>0</v>
      </c>
      <c r="P40" s="247">
        <f>+'NEW...Tables 91-112'!D385</f>
        <v>55.733665990158819</v>
      </c>
      <c r="Q40" s="282">
        <f>+'NEW...Tables 87-90'!H40-'OLD...Tables'!H39</f>
        <v>24.834388251120153</v>
      </c>
      <c r="R40" s="282">
        <f>+'NEW...Tables 87-90'!M40-'OLD...Tables'!M39</f>
        <v>23.024351526413557</v>
      </c>
      <c r="S40" s="282">
        <f>+'NEW...Tables 87-90'!P40-'OLD...Tables'!P39</f>
        <v>17.027710331311283</v>
      </c>
      <c r="T40" s="174"/>
      <c r="U40" s="283"/>
      <c r="V40" s="283"/>
      <c r="W40" s="283"/>
      <c r="X40" s="139"/>
      <c r="Y40" s="174"/>
      <c r="Z40" s="174"/>
      <c r="AA40" s="174"/>
      <c r="AC40" s="139"/>
      <c r="AD40" s="174"/>
      <c r="AE40" s="174"/>
      <c r="AF40" s="174"/>
      <c r="AG40" s="283"/>
      <c r="AH40" s="283"/>
      <c r="AI40" s="283"/>
      <c r="AJ40" s="139"/>
      <c r="AK40" s="174"/>
      <c r="AL40" s="174"/>
      <c r="AM40" s="174"/>
    </row>
    <row r="41" spans="1:39" ht="15.75" customHeight="1">
      <c r="A41" s="139" t="s">
        <v>623</v>
      </c>
      <c r="B41" s="245">
        <f>+'NEW...Tables 91-112'!D47</f>
        <v>39.216341589236215</v>
      </c>
      <c r="C41" s="245">
        <f>+'NEW...Tables 91-112'!D78</f>
        <v>0</v>
      </c>
      <c r="D41" s="245">
        <f>+'NEW...Tables 91-112'!D108</f>
        <v>36.188729436471824</v>
      </c>
      <c r="E41" s="245">
        <f>+'NEW...Tables 91-112'!D139</f>
        <v>36.248070987654316</v>
      </c>
      <c r="F41" s="245">
        <f>+'NEW...Tables 91-112'!D170</f>
        <v>0</v>
      </c>
      <c r="G41" s="245">
        <f>+'NEW...Tables 91-112'!D200</f>
        <v>0</v>
      </c>
      <c r="H41" s="250">
        <f>+'NEW...Tables 91-112'!D15</f>
        <v>37.407972970681357</v>
      </c>
      <c r="I41" s="247">
        <f>+'NEW...Tables 91-112'!D262</f>
        <v>0</v>
      </c>
      <c r="J41" s="245">
        <f>+'NEW...Tables 91-112'!D293</f>
        <v>46.670027432034068</v>
      </c>
      <c r="K41" s="245">
        <f>+'NEW...Tables 91-112'!D324</f>
        <v>53.958485381874389</v>
      </c>
      <c r="L41" s="245">
        <f>+'NEW...Tables 91-112'!D355</f>
        <v>53.933209234716962</v>
      </c>
      <c r="M41" s="247">
        <f>+'NEW...Tables 91-112'!D231</f>
        <v>51.423660374209156</v>
      </c>
      <c r="N41" s="248">
        <f>+'NEW...Tables 91-112'!D416</f>
        <v>43.580875545562762</v>
      </c>
      <c r="O41" s="174">
        <f>+'NEW...Tables 91-112'!D446</f>
        <v>0</v>
      </c>
      <c r="P41" s="247">
        <f>+'NEW...Tables 91-112'!D386</f>
        <v>43.580875545562762</v>
      </c>
      <c r="Q41" s="282">
        <f>+'NEW...Tables 87-90'!H41-'OLD...Tables'!H40</f>
        <v>18.862814278594378</v>
      </c>
      <c r="R41" s="282">
        <f>+'NEW...Tables 87-90'!M41-'OLD...Tables'!M40</f>
        <v>7.7644657716788572</v>
      </c>
      <c r="S41" s="282">
        <f>+'NEW...Tables 87-90'!P41-'OLD...Tables'!P40</f>
        <v>9.9893900998669238</v>
      </c>
      <c r="T41" s="174"/>
      <c r="U41" s="283"/>
      <c r="V41" s="283"/>
      <c r="W41" s="283"/>
      <c r="X41" s="139"/>
      <c r="Y41" s="174"/>
      <c r="Z41" s="174"/>
      <c r="AA41" s="174"/>
      <c r="AC41" s="139"/>
      <c r="AD41" s="174"/>
      <c r="AE41" s="174"/>
      <c r="AF41" s="174"/>
      <c r="AG41" s="283"/>
      <c r="AH41" s="283"/>
      <c r="AI41" s="283"/>
      <c r="AJ41" s="139"/>
      <c r="AK41" s="174"/>
      <c r="AL41" s="174"/>
      <c r="AM41" s="174"/>
    </row>
    <row r="42" spans="1:39" ht="15.75" customHeight="1">
      <c r="A42" s="139" t="s">
        <v>624</v>
      </c>
      <c r="B42" s="245">
        <f>+'NEW...Tables 91-112'!D48</f>
        <v>32.773213841174972</v>
      </c>
      <c r="C42" s="245">
        <f>+'NEW...Tables 91-112'!D79</f>
        <v>27.963618143241035</v>
      </c>
      <c r="D42" s="245">
        <f>+'NEW...Tables 91-112'!D109</f>
        <v>39.958703780581907</v>
      </c>
      <c r="E42" s="245">
        <f>+'NEW...Tables 91-112'!D140</f>
        <v>48.952375755856849</v>
      </c>
      <c r="F42" s="245">
        <f>+'NEW...Tables 91-112'!D171</f>
        <v>100</v>
      </c>
      <c r="G42" s="245">
        <f>+'NEW...Tables 91-112'!D201</f>
        <v>48.429118773946364</v>
      </c>
      <c r="H42" s="250">
        <f>+'NEW...Tables 91-112'!D16</f>
        <v>37.874713969864366</v>
      </c>
      <c r="I42" s="247">
        <f>+'NEW...Tables 91-112'!D263</f>
        <v>0</v>
      </c>
      <c r="J42" s="245">
        <f>+'NEW...Tables 91-112'!D294</f>
        <v>55.856626611203232</v>
      </c>
      <c r="K42" s="245">
        <f>+'NEW...Tables 91-112'!D325</f>
        <v>48.082941943453214</v>
      </c>
      <c r="L42" s="245">
        <f>+'NEW...Tables 91-112'!D356</f>
        <v>45.757858819492689</v>
      </c>
      <c r="M42" s="247">
        <f>+'NEW...Tables 91-112'!D232</f>
        <v>51.159442044710005</v>
      </c>
      <c r="N42" s="248">
        <f>+'NEW...Tables 91-112'!D417</f>
        <v>30.872447459760004</v>
      </c>
      <c r="O42" s="174">
        <f>+'NEW...Tables 91-112'!D447</f>
        <v>8.6092715231788102</v>
      </c>
      <c r="P42" s="247">
        <f>+'NEW...Tables 91-112'!D387</f>
        <v>28.801629486753772</v>
      </c>
      <c r="Q42" s="282">
        <f>+'NEW...Tables 87-90'!H42-'OLD...Tables'!H41</f>
        <v>20.689391734057974</v>
      </c>
      <c r="R42" s="282">
        <f>+'NEW...Tables 87-90'!M42-'OLD...Tables'!M41</f>
        <v>25.662795407109716</v>
      </c>
      <c r="S42" s="282">
        <f>+'NEW...Tables 87-90'!P42-'OLD...Tables'!P41</f>
        <v>8.777383846186865</v>
      </c>
      <c r="T42" s="174"/>
      <c r="U42" s="283"/>
      <c r="V42" s="283"/>
      <c r="W42" s="283"/>
      <c r="X42" s="139"/>
      <c r="Y42" s="174"/>
      <c r="Z42" s="174"/>
      <c r="AA42" s="174"/>
      <c r="AC42" s="139"/>
      <c r="AD42" s="174"/>
      <c r="AE42" s="174"/>
      <c r="AF42" s="174"/>
      <c r="AG42" s="283"/>
      <c r="AH42" s="283"/>
      <c r="AI42" s="283"/>
      <c r="AJ42" s="139"/>
      <c r="AK42" s="174"/>
      <c r="AL42" s="174"/>
      <c r="AM42" s="174"/>
    </row>
    <row r="43" spans="1:39" ht="15.75" customHeight="1">
      <c r="A43" s="139" t="s">
        <v>625</v>
      </c>
      <c r="B43" s="245">
        <f>+'NEW...Tables 91-112'!D49</f>
        <v>49.808730236023941</v>
      </c>
      <c r="C43" s="245">
        <f>+'NEW...Tables 91-112'!D80</f>
        <v>45.504605456027292</v>
      </c>
      <c r="D43" s="245">
        <f>+'NEW...Tables 91-112'!D110</f>
        <v>45.383336635113139</v>
      </c>
      <c r="E43" s="245">
        <f>+'NEW...Tables 91-112'!D141</f>
        <v>48.939646709731534</v>
      </c>
      <c r="F43" s="245">
        <f>+'NEW...Tables 91-112'!D172</f>
        <v>25.143731866645307</v>
      </c>
      <c r="G43" s="245">
        <f>+'NEW...Tables 91-112'!D202</f>
        <v>22.565527940273427</v>
      </c>
      <c r="H43" s="250">
        <f>+'NEW...Tables 91-112'!D17</f>
        <v>58.999970793539525</v>
      </c>
      <c r="I43" s="247">
        <f>+'NEW...Tables 91-112'!D264</f>
        <v>0</v>
      </c>
      <c r="J43" s="245">
        <f>+'NEW...Tables 91-112'!D295</f>
        <v>64.505896824003514</v>
      </c>
      <c r="K43" s="245">
        <f>+'NEW...Tables 91-112'!D326</f>
        <v>57.830360166011658</v>
      </c>
      <c r="L43" s="245">
        <f>+'NEW...Tables 91-112'!D357</f>
        <v>51.8984952682667</v>
      </c>
      <c r="M43" s="247">
        <f>+'NEW...Tables 91-112'!D233</f>
        <v>62.131046790880333</v>
      </c>
      <c r="N43" s="248">
        <f>+'NEW...Tables 91-112'!D418</f>
        <v>0</v>
      </c>
      <c r="O43" s="174">
        <f>+'NEW...Tables 91-112'!D448</f>
        <v>0</v>
      </c>
      <c r="P43" s="247">
        <f>+'NEW...Tables 91-112'!D388</f>
        <v>0</v>
      </c>
      <c r="Q43" s="282">
        <f>+'NEW...Tables 87-90'!H43-'OLD...Tables'!H42</f>
        <v>27.583520976883221</v>
      </c>
      <c r="R43" s="282">
        <f>+'NEW...Tables 87-90'!M43-'OLD...Tables'!M42</f>
        <v>40.71585512361095</v>
      </c>
      <c r="S43" s="282">
        <f>+'NEW...Tables 87-90'!P43-'OLD...Tables'!P42</f>
        <v>0</v>
      </c>
      <c r="T43" s="174"/>
      <c r="U43" s="284"/>
      <c r="V43" s="283"/>
      <c r="W43" s="283"/>
      <c r="X43" s="139"/>
      <c r="Y43" s="174"/>
      <c r="Z43" s="174"/>
      <c r="AA43" s="174"/>
      <c r="AC43" s="139"/>
      <c r="AD43" s="174"/>
      <c r="AE43" s="174"/>
      <c r="AF43" s="174"/>
      <c r="AG43" s="283"/>
      <c r="AH43" s="283"/>
      <c r="AI43" s="283"/>
      <c r="AJ43" s="139"/>
      <c r="AK43" s="174"/>
      <c r="AL43" s="174"/>
      <c r="AM43" s="174"/>
    </row>
    <row r="44" spans="1:39" ht="15.75" customHeight="1">
      <c r="A44" s="139"/>
      <c r="B44" s="245"/>
      <c r="C44" s="245"/>
      <c r="D44" s="245"/>
      <c r="E44" s="245"/>
      <c r="F44" s="245"/>
      <c r="G44" s="245"/>
      <c r="H44" s="250"/>
      <c r="I44" s="247"/>
      <c r="J44" s="245"/>
      <c r="K44" s="245"/>
      <c r="L44" s="245"/>
      <c r="M44" s="247"/>
      <c r="N44" s="248"/>
      <c r="O44" s="174"/>
      <c r="P44" s="247"/>
      <c r="Q44" s="282"/>
      <c r="R44" s="282"/>
      <c r="S44" s="282"/>
      <c r="T44" s="174"/>
      <c r="U44" s="284"/>
      <c r="V44" s="283"/>
      <c r="W44" s="283"/>
      <c r="X44" s="139"/>
      <c r="Y44" s="174"/>
      <c r="Z44" s="174"/>
      <c r="AA44" s="174"/>
      <c r="AC44" s="139"/>
      <c r="AD44" s="174"/>
      <c r="AE44" s="174"/>
      <c r="AF44" s="174"/>
      <c r="AG44" s="283"/>
      <c r="AH44" s="283"/>
      <c r="AI44" s="283"/>
      <c r="AJ44" s="139"/>
      <c r="AK44" s="174"/>
      <c r="AL44" s="174"/>
      <c r="AM44" s="174"/>
    </row>
    <row r="45" spans="1:39" ht="15.75" customHeight="1">
      <c r="A45" s="139" t="s">
        <v>672</v>
      </c>
      <c r="B45" s="245">
        <f>+'NEW...Tables 91-112'!D51</f>
        <v>44.989873927135704</v>
      </c>
      <c r="C45" s="245">
        <f>+'NEW...Tables 91-112'!D82</f>
        <v>63.615129055057693</v>
      </c>
      <c r="D45" s="245">
        <f>+'NEW...Tables 91-112'!D112</f>
        <v>0</v>
      </c>
      <c r="E45" s="245">
        <f>+'NEW...Tables 91-112'!D143</f>
        <v>44.595097994495887</v>
      </c>
      <c r="F45" s="245">
        <f>+'NEW...Tables 91-112'!D174</f>
        <v>0</v>
      </c>
      <c r="G45" s="245">
        <f>+'NEW...Tables 91-112'!D204</f>
        <v>0</v>
      </c>
      <c r="H45" s="250">
        <f>+'NEW...Tables 91-112'!D19</f>
        <v>46.318023643367994</v>
      </c>
      <c r="I45" s="247">
        <f>+'NEW...Tables 91-112'!D266</f>
        <v>0</v>
      </c>
      <c r="J45" s="245">
        <f>+'NEW...Tables 91-112'!D297</f>
        <v>0</v>
      </c>
      <c r="K45" s="245">
        <f>+'NEW...Tables 91-112'!D328</f>
        <v>0</v>
      </c>
      <c r="L45" s="245">
        <f>+'NEW...Tables 91-112'!D359</f>
        <v>0</v>
      </c>
      <c r="M45" s="247">
        <f>+'NEW...Tables 91-112'!D235</f>
        <v>0</v>
      </c>
      <c r="N45" s="248">
        <f>+'NEW...Tables 91-112'!D420</f>
        <v>0</v>
      </c>
      <c r="O45" s="174">
        <f>+'NEW...Tables 91-112'!D450</f>
        <v>0</v>
      </c>
      <c r="P45" s="247">
        <f>+'NEW...Tables 91-112'!D390</f>
        <v>0</v>
      </c>
      <c r="Q45" s="282">
        <f>+'NEW...Tables 87-90'!H45-'OLD...Tables'!H44</f>
        <v>25.224059287486813</v>
      </c>
      <c r="R45" s="282">
        <f>+'NEW...Tables 87-90'!M45-'OLD...Tables'!M44</f>
        <v>0</v>
      </c>
      <c r="S45" s="282">
        <f>+'NEW...Tables 87-90'!P45-'OLD...Tables'!P44</f>
        <v>0</v>
      </c>
      <c r="T45" s="174"/>
      <c r="U45" s="283"/>
      <c r="V45" s="283"/>
      <c r="W45" s="283"/>
      <c r="X45" s="139"/>
      <c r="Y45" s="174"/>
      <c r="Z45" s="174"/>
      <c r="AA45" s="174"/>
      <c r="AC45" s="139"/>
      <c r="AD45" s="174"/>
      <c r="AE45" s="174"/>
      <c r="AF45" s="174"/>
      <c r="AG45" s="283"/>
      <c r="AH45" s="283"/>
      <c r="AI45" s="283"/>
      <c r="AJ45" s="139"/>
      <c r="AK45" s="174"/>
      <c r="AL45" s="174"/>
      <c r="AM45" s="174"/>
    </row>
    <row r="46" spans="1:39" ht="15.75" customHeight="1">
      <c r="A46" s="139" t="s">
        <v>627</v>
      </c>
      <c r="B46" s="245">
        <f>+'NEW...Tables 91-112'!D52</f>
        <v>51.613192346630107</v>
      </c>
      <c r="C46" s="245">
        <f>+'NEW...Tables 91-112'!D83</f>
        <v>51.127777988351077</v>
      </c>
      <c r="D46" s="245">
        <f>+'NEW...Tables 91-112'!D113</f>
        <v>52.057110619377134</v>
      </c>
      <c r="E46" s="245">
        <f>+'NEW...Tables 91-112'!D144</f>
        <v>62.848080600774288</v>
      </c>
      <c r="F46" s="245">
        <f>+'NEW...Tables 91-112'!D175</f>
        <v>52.514975506438496</v>
      </c>
      <c r="G46" s="245">
        <f>+'NEW...Tables 91-112'!D205</f>
        <v>35.374974456780869</v>
      </c>
      <c r="H46" s="250">
        <f>+'NEW...Tables 91-112'!D20</f>
        <v>51.461822607248919</v>
      </c>
      <c r="I46" s="247">
        <f>+'NEW...Tables 91-112'!D267</f>
        <v>0</v>
      </c>
      <c r="J46" s="245">
        <f>+'NEW...Tables 91-112'!D298</f>
        <v>64.674547736163618</v>
      </c>
      <c r="K46" s="245">
        <f>+'NEW...Tables 91-112'!D329</f>
        <v>63.436576724062611</v>
      </c>
      <c r="L46" s="245">
        <f>+'NEW...Tables 91-112'!D360</f>
        <v>64.218191247543444</v>
      </c>
      <c r="M46" s="247">
        <f>+'NEW...Tables 91-112'!D236</f>
        <v>64.145725912651784</v>
      </c>
      <c r="N46" s="248">
        <f>+'NEW...Tables 91-112'!D421</f>
        <v>0</v>
      </c>
      <c r="O46" s="174">
        <f>+'NEW...Tables 91-112'!D451</f>
        <v>0</v>
      </c>
      <c r="P46" s="247">
        <f>+'NEW...Tables 91-112'!D391</f>
        <v>0</v>
      </c>
      <c r="Q46" s="282">
        <f>+'NEW...Tables 87-90'!H46-'OLD...Tables'!H45</f>
        <v>33.145697877269868</v>
      </c>
      <c r="R46" s="282">
        <f>+'NEW...Tables 87-90'!M46-'OLD...Tables'!M45</f>
        <v>18.240167637675448</v>
      </c>
      <c r="S46" s="282">
        <f>+'NEW...Tables 87-90'!P46-'OLD...Tables'!P45</f>
        <v>0</v>
      </c>
      <c r="T46" s="174"/>
      <c r="U46" s="283"/>
      <c r="V46" s="283"/>
      <c r="W46" s="283"/>
      <c r="X46" s="139"/>
      <c r="Y46" s="174"/>
      <c r="Z46" s="174"/>
      <c r="AA46" s="174"/>
      <c r="AC46" s="139"/>
      <c r="AD46" s="174"/>
      <c r="AE46" s="174"/>
      <c r="AF46" s="174"/>
      <c r="AG46" s="283"/>
      <c r="AH46" s="283"/>
      <c r="AI46" s="283"/>
      <c r="AJ46" s="139"/>
      <c r="AK46" s="174"/>
      <c r="AL46" s="174"/>
      <c r="AM46" s="174"/>
    </row>
    <row r="47" spans="1:39" ht="15.75" customHeight="1">
      <c r="A47" s="139" t="s">
        <v>628</v>
      </c>
      <c r="B47" s="245">
        <f>+'NEW...Tables 91-112'!D53</f>
        <v>0</v>
      </c>
      <c r="C47" s="245">
        <f>+'NEW...Tables 91-112'!D84</f>
        <v>0</v>
      </c>
      <c r="D47" s="245">
        <f>+'NEW...Tables 91-112'!D114</f>
        <v>0</v>
      </c>
      <c r="E47" s="245">
        <f>+'NEW...Tables 91-112'!D145</f>
        <v>0</v>
      </c>
      <c r="F47" s="245">
        <f>+'NEW...Tables 91-112'!D176</f>
        <v>0</v>
      </c>
      <c r="G47" s="245">
        <f>+'NEW...Tables 91-112'!D206</f>
        <v>0</v>
      </c>
      <c r="H47" s="250">
        <f>+'NEW...Tables 91-112'!D21</f>
        <v>0</v>
      </c>
      <c r="I47" s="247">
        <f>+'NEW...Tables 91-112'!D268</f>
        <v>0</v>
      </c>
      <c r="J47" s="245">
        <f>+'NEW...Tables 91-112'!D299</f>
        <v>0</v>
      </c>
      <c r="K47" s="245">
        <f>+'NEW...Tables 91-112'!D330</f>
        <v>0</v>
      </c>
      <c r="L47" s="245">
        <f>+'NEW...Tables 91-112'!D361</f>
        <v>0</v>
      </c>
      <c r="M47" s="247">
        <f>+'NEW...Tables 91-112'!D237</f>
        <v>0</v>
      </c>
      <c r="N47" s="248">
        <f>+'NEW...Tables 91-112'!D422</f>
        <v>0</v>
      </c>
      <c r="O47" s="174">
        <f>+'NEW...Tables 91-112'!D452</f>
        <v>0</v>
      </c>
      <c r="P47" s="247">
        <f>+'NEW...Tables 91-112'!D392</f>
        <v>0</v>
      </c>
      <c r="Q47" s="282">
        <f>+'NEW...Tables 87-90'!H47-'OLD...Tables'!H46</f>
        <v>0</v>
      </c>
      <c r="R47" s="282">
        <f>+'NEW...Tables 87-90'!M47-'OLD...Tables'!M46</f>
        <v>0</v>
      </c>
      <c r="S47" s="282">
        <f>+'NEW...Tables 87-90'!P47-'OLD...Tables'!P46</f>
        <v>0</v>
      </c>
      <c r="T47" s="174"/>
      <c r="U47" s="283"/>
      <c r="V47" s="283"/>
      <c r="W47" s="283"/>
      <c r="X47" s="139"/>
      <c r="Y47" s="174"/>
      <c r="Z47" s="174"/>
      <c r="AA47" s="174"/>
      <c r="AC47" s="139"/>
      <c r="AD47" s="174"/>
      <c r="AE47" s="174"/>
      <c r="AF47" s="174"/>
      <c r="AG47" s="283"/>
      <c r="AH47" s="283"/>
      <c r="AI47" s="283"/>
      <c r="AJ47" s="139"/>
      <c r="AK47" s="174"/>
      <c r="AL47" s="174"/>
      <c r="AM47" s="174"/>
    </row>
    <row r="48" spans="1:39" ht="15.75" customHeight="1">
      <c r="A48" s="139" t="s">
        <v>629</v>
      </c>
      <c r="B48" s="245">
        <f>+'NEW...Tables 91-112'!D54</f>
        <v>42.715236481219392</v>
      </c>
      <c r="C48" s="245">
        <f>+'NEW...Tables 91-112'!D85</f>
        <v>0</v>
      </c>
      <c r="D48" s="245">
        <f>+'NEW...Tables 91-112'!D115</f>
        <v>29.708527168026432</v>
      </c>
      <c r="E48" s="245">
        <f>+'NEW...Tables 91-112'!D146</f>
        <v>23.752998447862282</v>
      </c>
      <c r="F48" s="245">
        <f>+'NEW...Tables 91-112'!D177</f>
        <v>19.707990159375335</v>
      </c>
      <c r="G48" s="245">
        <f>+'NEW...Tables 91-112'!D207</f>
        <v>48.516005743321308</v>
      </c>
      <c r="H48" s="250">
        <f>+'NEW...Tables 91-112'!D22</f>
        <v>38.001920949583251</v>
      </c>
      <c r="I48" s="247">
        <f>+'NEW...Tables 91-112'!D269</f>
        <v>0</v>
      </c>
      <c r="J48" s="245">
        <f>+'NEW...Tables 91-112'!D300</f>
        <v>62.200343252371347</v>
      </c>
      <c r="K48" s="245">
        <f>+'NEW...Tables 91-112'!D331</f>
        <v>63.05351517854654</v>
      </c>
      <c r="L48" s="245">
        <f>+'NEW...Tables 91-112'!D362</f>
        <v>58.987986012533327</v>
      </c>
      <c r="M48" s="247">
        <f>+'NEW...Tables 91-112'!D238</f>
        <v>61.939411842127988</v>
      </c>
      <c r="N48" s="248">
        <f>+'NEW...Tables 91-112'!D423</f>
        <v>0</v>
      </c>
      <c r="O48" s="174">
        <f>+'NEW...Tables 91-112'!D453</f>
        <v>0</v>
      </c>
      <c r="P48" s="247">
        <f>+'NEW...Tables 91-112'!D393</f>
        <v>0</v>
      </c>
      <c r="Q48" s="282">
        <f>+'NEW...Tables 87-90'!H48-'OLD...Tables'!H47</f>
        <v>24.681859706441934</v>
      </c>
      <c r="R48" s="282">
        <f>+'NEW...Tables 87-90'!M48-'OLD...Tables'!M47</f>
        <v>25.849039277127659</v>
      </c>
      <c r="S48" s="282">
        <f>+'NEW...Tables 87-90'!P48-'OLD...Tables'!P47</f>
        <v>0</v>
      </c>
      <c r="T48" s="174"/>
      <c r="U48" s="283"/>
      <c r="V48" s="283"/>
      <c r="W48" s="283"/>
      <c r="X48" s="139"/>
      <c r="Y48" s="174"/>
      <c r="Z48" s="174"/>
      <c r="AA48" s="174"/>
    </row>
    <row r="49" spans="1:40" ht="15.75" customHeight="1">
      <c r="A49" s="139"/>
      <c r="B49" s="245"/>
      <c r="C49" s="245"/>
      <c r="D49" s="245"/>
      <c r="E49" s="245"/>
      <c r="F49" s="245"/>
      <c r="G49" s="245"/>
      <c r="H49" s="250"/>
      <c r="I49" s="247"/>
      <c r="J49" s="245"/>
      <c r="K49" s="245"/>
      <c r="L49" s="245"/>
      <c r="M49" s="247"/>
      <c r="N49" s="248"/>
      <c r="O49" s="174"/>
      <c r="P49" s="247"/>
      <c r="Q49" s="282"/>
      <c r="R49" s="282"/>
      <c r="S49" s="282"/>
      <c r="T49" s="174"/>
      <c r="U49" s="283"/>
      <c r="V49" s="283"/>
      <c r="W49" s="283"/>
      <c r="X49" s="139"/>
      <c r="Y49" s="174"/>
      <c r="Z49" s="174"/>
      <c r="AA49" s="174"/>
    </row>
    <row r="50" spans="1:40" ht="15.75" customHeight="1">
      <c r="A50" s="139" t="s">
        <v>630</v>
      </c>
      <c r="B50" s="245">
        <f>+'NEW...Tables 91-112'!D56</f>
        <v>22.247876472027567</v>
      </c>
      <c r="C50" s="245">
        <f>+'NEW...Tables 91-112'!D87</f>
        <v>43.149388443694647</v>
      </c>
      <c r="D50" s="245">
        <f>+'NEW...Tables 91-112'!D117</f>
        <v>58.326540907220327</v>
      </c>
      <c r="E50" s="245">
        <f>+'NEW...Tables 91-112'!D148</f>
        <v>44.465576026775942</v>
      </c>
      <c r="F50" s="245">
        <f>+'NEW...Tables 91-112'!D179</f>
        <v>0</v>
      </c>
      <c r="G50" s="245">
        <f>+'NEW...Tables 91-112'!D209</f>
        <v>0</v>
      </c>
      <c r="H50" s="250">
        <f>+'NEW...Tables 91-112'!D24</f>
        <v>39.314991593311476</v>
      </c>
      <c r="I50" s="247">
        <f>+'NEW...Tables 91-112'!D271</f>
        <v>0</v>
      </c>
      <c r="J50" s="245">
        <f>+'NEW...Tables 91-112'!D302</f>
        <v>65.054733971972155</v>
      </c>
      <c r="K50" s="245">
        <f>+'NEW...Tables 91-112'!D333</f>
        <v>56.228061263944127</v>
      </c>
      <c r="L50" s="245">
        <f>+'NEW...Tables 91-112'!D364</f>
        <v>39.911421180528336</v>
      </c>
      <c r="M50" s="247">
        <f>+'NEW...Tables 91-112'!D240</f>
        <v>60.254502751381096</v>
      </c>
      <c r="N50" s="248">
        <f>+'NEW...Tables 91-112'!D425</f>
        <v>0</v>
      </c>
      <c r="O50" s="174">
        <f>+'NEW...Tables 91-112'!D455</f>
        <v>0</v>
      </c>
      <c r="P50" s="247">
        <f>+'NEW...Tables 91-112'!D395</f>
        <v>0</v>
      </c>
      <c r="Q50" s="282">
        <f>+'NEW...Tables 87-90'!H50-'OLD...Tables'!H49</f>
        <v>16.701022924104571</v>
      </c>
      <c r="R50" s="282">
        <f>+'NEW...Tables 87-90'!M50-'OLD...Tables'!M49</f>
        <v>29.100689912224055</v>
      </c>
      <c r="S50" s="282">
        <f>+'NEW...Tables 87-90'!P50-'OLD...Tables'!P49</f>
        <v>0</v>
      </c>
      <c r="T50" s="174"/>
      <c r="U50" s="283"/>
      <c r="V50" s="283"/>
      <c r="W50" s="283"/>
      <c r="X50" s="139"/>
      <c r="Y50" s="174"/>
      <c r="Z50" s="174"/>
      <c r="AA50" s="174"/>
    </row>
    <row r="51" spans="1:40" s="186" customFormat="1" ht="16.5" customHeight="1">
      <c r="A51" s="139" t="s">
        <v>631</v>
      </c>
      <c r="B51" s="245">
        <f>+'NEW...Tables 91-112'!D57</f>
        <v>53.899355213475047</v>
      </c>
      <c r="C51" s="245">
        <f>+'NEW...Tables 91-112'!D88</f>
        <v>52.258713933834294</v>
      </c>
      <c r="D51" s="245">
        <f>+'NEW...Tables 91-112'!D118</f>
        <v>57.512865291463143</v>
      </c>
      <c r="E51" s="245">
        <f>+'NEW...Tables 91-112'!D149</f>
        <v>73.025523573778813</v>
      </c>
      <c r="F51" s="245">
        <f>+'NEW...Tables 91-112'!D180</f>
        <v>46.321093424965717</v>
      </c>
      <c r="G51" s="245">
        <f>+'NEW...Tables 91-112'!D210</f>
        <v>0</v>
      </c>
      <c r="H51" s="250">
        <f>+'NEW...Tables 91-112'!D25</f>
        <v>55.615810807968359</v>
      </c>
      <c r="I51" s="247">
        <f>+'NEW...Tables 91-112'!D272</f>
        <v>63.001583506857621</v>
      </c>
      <c r="J51" s="245">
        <f>+'NEW...Tables 91-112'!D303</f>
        <v>56.854882660932141</v>
      </c>
      <c r="K51" s="245">
        <f>+'NEW...Tables 91-112'!D334</f>
        <v>58.897819713825307</v>
      </c>
      <c r="L51" s="245">
        <f>+'NEW...Tables 91-112'!D365</f>
        <v>78.766361470636923</v>
      </c>
      <c r="M51" s="247">
        <f>+'NEW...Tables 91-112'!D241</f>
        <v>58.831591039486746</v>
      </c>
      <c r="N51" s="248">
        <f>+'NEW...Tables 91-112'!D426</f>
        <v>0</v>
      </c>
      <c r="O51" s="174">
        <f>+'NEW...Tables 91-112'!D456</f>
        <v>0</v>
      </c>
      <c r="P51" s="247">
        <f>+'NEW...Tables 91-112'!D396</f>
        <v>0</v>
      </c>
      <c r="Q51" s="282">
        <f>+'NEW...Tables 87-90'!H51-'OLD...Tables'!H50</f>
        <v>55.615810807968359</v>
      </c>
      <c r="R51" s="282">
        <f>+'NEW...Tables 87-90'!M51-'OLD...Tables'!M50</f>
        <v>58.831591039486746</v>
      </c>
      <c r="S51" s="282">
        <f>+'NEW...Tables 87-90'!P51-'OLD...Tables'!P50</f>
        <v>0</v>
      </c>
      <c r="T51" s="174"/>
      <c r="U51" s="283"/>
      <c r="V51" s="283"/>
      <c r="W51" s="283"/>
      <c r="X51" s="139"/>
      <c r="Y51" s="174"/>
      <c r="Z51" s="174"/>
      <c r="AA51" s="174"/>
      <c r="AB51" s="59"/>
      <c r="AC51" s="59"/>
      <c r="AD51" s="59"/>
      <c r="AE51" s="59"/>
      <c r="AF51" s="59"/>
      <c r="AG51" s="59"/>
      <c r="AH51" s="59"/>
      <c r="AI51" s="59"/>
      <c r="AJ51" s="59"/>
      <c r="AK51" s="59"/>
      <c r="AL51" s="59"/>
      <c r="AM51" s="59"/>
      <c r="AN51" s="59"/>
    </row>
    <row r="52" spans="1:40" s="186" customFormat="1" ht="14.25" customHeight="1">
      <c r="A52" s="139" t="s">
        <v>632</v>
      </c>
      <c r="B52" s="245">
        <f>+'NEW...Tables 91-112'!D58</f>
        <v>44.08436555089915</v>
      </c>
      <c r="C52" s="245">
        <f>+'NEW...Tables 91-112'!D89</f>
        <v>43.157377068931432</v>
      </c>
      <c r="D52" s="245">
        <f>+'NEW...Tables 91-112'!D119</f>
        <v>40.619647835720258</v>
      </c>
      <c r="E52" s="245">
        <f>+'NEW...Tables 91-112'!D150</f>
        <v>31.79704975073464</v>
      </c>
      <c r="F52" s="245">
        <f>+'NEW...Tables 91-112'!D181</f>
        <v>33.483398523336561</v>
      </c>
      <c r="G52" s="245">
        <f>+'NEW...Tables 91-112'!D211</f>
        <v>27.05309792453242</v>
      </c>
      <c r="H52" s="250">
        <f>+'NEW...Tables 91-112'!D26</f>
        <v>42.135249339517593</v>
      </c>
      <c r="I52" s="247">
        <f>+'NEW...Tables 91-112'!D273</f>
        <v>0</v>
      </c>
      <c r="J52" s="245">
        <f>+'NEW...Tables 91-112'!D304</f>
        <v>55.305469580080384</v>
      </c>
      <c r="K52" s="245">
        <f>+'NEW...Tables 91-112'!D335</f>
        <v>59.795641022731139</v>
      </c>
      <c r="L52" s="245">
        <f>+'NEW...Tables 91-112'!D366</f>
        <v>57.186183981764096</v>
      </c>
      <c r="M52" s="247">
        <f>+'NEW...Tables 91-112'!D242</f>
        <v>56.688978344506708</v>
      </c>
      <c r="N52" s="248">
        <f>+'NEW...Tables 91-112'!D427</f>
        <v>0</v>
      </c>
      <c r="O52" s="174">
        <f>+'NEW...Tables 91-112'!D457</f>
        <v>0</v>
      </c>
      <c r="P52" s="247">
        <f>+'NEW...Tables 91-112'!D397</f>
        <v>0</v>
      </c>
      <c r="Q52" s="282">
        <f>+'NEW...Tables 87-90'!H52-'OLD...Tables'!H51</f>
        <v>31.82090890689711</v>
      </c>
      <c r="R52" s="282">
        <f>+'NEW...Tables 87-90'!M52-'OLD...Tables'!M51</f>
        <v>24.907427146411123</v>
      </c>
      <c r="S52" s="282">
        <f>+'NEW...Tables 87-90'!P52-'OLD...Tables'!P51</f>
        <v>0</v>
      </c>
      <c r="T52" s="174"/>
      <c r="U52" s="283"/>
      <c r="V52" s="283"/>
      <c r="W52" s="283"/>
      <c r="X52" s="139"/>
      <c r="Y52" s="174"/>
      <c r="Z52" s="174"/>
      <c r="AA52" s="174"/>
      <c r="AB52" s="59"/>
      <c r="AC52" s="59"/>
      <c r="AD52" s="59"/>
      <c r="AE52" s="59"/>
      <c r="AF52" s="59"/>
      <c r="AG52" s="59"/>
      <c r="AH52" s="59"/>
      <c r="AI52" s="59"/>
      <c r="AJ52" s="59"/>
      <c r="AK52" s="59"/>
      <c r="AL52" s="59"/>
      <c r="AM52" s="59"/>
      <c r="AN52" s="59"/>
    </row>
    <row r="53" spans="1:40" s="186" customFormat="1" ht="15" customHeight="1">
      <c r="A53" s="139" t="s">
        <v>633</v>
      </c>
      <c r="B53" s="245">
        <f>+'NEW...Tables 91-112'!D59</f>
        <v>43.451660155434439</v>
      </c>
      <c r="C53" s="245">
        <f>+'NEW...Tables 91-112'!D90</f>
        <v>0</v>
      </c>
      <c r="D53" s="245">
        <f>+'NEW...Tables 91-112'!D120</f>
        <v>48.215238647489144</v>
      </c>
      <c r="E53" s="245">
        <f>+'NEW...Tables 91-112'!D151</f>
        <v>0</v>
      </c>
      <c r="F53" s="245">
        <f>+'NEW...Tables 91-112'!D182</f>
        <v>37.164622110449898</v>
      </c>
      <c r="G53" s="245">
        <f>+'NEW...Tables 91-112'!D212</f>
        <v>38.255398387712383</v>
      </c>
      <c r="H53" s="250">
        <f>+'NEW...Tables 91-112'!D27</f>
        <v>42.294516010879136</v>
      </c>
      <c r="I53" s="247">
        <f>+'NEW...Tables 91-112'!D274</f>
        <v>37.812715037146759</v>
      </c>
      <c r="J53" s="245">
        <f>+'NEW...Tables 91-112'!D305</f>
        <v>0</v>
      </c>
      <c r="K53" s="245">
        <f>+'NEW...Tables 91-112'!D336</f>
        <v>55.183670258790215</v>
      </c>
      <c r="L53" s="245">
        <f>+'NEW...Tables 91-112'!D367</f>
        <v>51.341861048407324</v>
      </c>
      <c r="M53" s="247">
        <f>+'NEW...Tables 91-112'!D243</f>
        <v>48.470425042343493</v>
      </c>
      <c r="N53" s="248">
        <f>+'NEW...Tables 91-112'!D428</f>
        <v>0</v>
      </c>
      <c r="O53" s="174">
        <f>+'NEW...Tables 91-112'!D458</f>
        <v>0</v>
      </c>
      <c r="P53" s="247">
        <f>+'NEW...Tables 91-112'!D398</f>
        <v>0</v>
      </c>
      <c r="Q53" s="282">
        <f>+'NEW...Tables 87-90'!H53-'OLD...Tables'!H52</f>
        <v>24.494957120074869</v>
      </c>
      <c r="R53" s="282">
        <f>+'NEW...Tables 87-90'!M53-'OLD...Tables'!M52</f>
        <v>15.256341014074557</v>
      </c>
      <c r="S53" s="282">
        <f>+'NEW...Tables 87-90'!P53-'OLD...Tables'!P52</f>
        <v>0</v>
      </c>
      <c r="T53" s="174"/>
      <c r="U53" s="283"/>
      <c r="V53" s="283"/>
      <c r="W53" s="283"/>
      <c r="X53" s="139"/>
      <c r="Y53" s="174"/>
      <c r="Z53" s="174"/>
      <c r="AA53" s="174"/>
      <c r="AB53" s="59"/>
      <c r="AC53" s="59"/>
      <c r="AD53" s="59"/>
      <c r="AE53" s="59"/>
      <c r="AF53" s="59"/>
      <c r="AG53" s="59"/>
      <c r="AH53" s="59"/>
      <c r="AI53" s="59"/>
      <c r="AJ53" s="59"/>
      <c r="AK53" s="59"/>
      <c r="AL53" s="59"/>
      <c r="AM53" s="59"/>
      <c r="AN53" s="59"/>
    </row>
    <row r="54" spans="1:40" s="186" customFormat="1" ht="28.5" customHeight="1">
      <c r="A54" s="488" t="s">
        <v>761</v>
      </c>
      <c r="B54" s="488"/>
      <c r="C54" s="488"/>
      <c r="D54" s="488"/>
      <c r="E54" s="488"/>
      <c r="F54" s="488"/>
      <c r="G54" s="488"/>
      <c r="H54" s="488"/>
      <c r="I54" s="488"/>
      <c r="J54" s="488"/>
      <c r="K54" s="488"/>
      <c r="L54" s="488"/>
      <c r="M54" s="488"/>
      <c r="N54" s="488"/>
      <c r="O54" s="488"/>
      <c r="P54" s="488"/>
    </row>
    <row r="55" spans="1:40" s="186" customFormat="1" ht="27" customHeight="1">
      <c r="A55" s="489" t="s">
        <v>687</v>
      </c>
      <c r="B55" s="490"/>
      <c r="C55" s="490"/>
      <c r="D55" s="490"/>
      <c r="E55" s="490"/>
      <c r="F55" s="490"/>
      <c r="G55" s="490"/>
      <c r="H55" s="490"/>
      <c r="I55" s="490"/>
      <c r="J55" s="490"/>
      <c r="K55" s="490"/>
      <c r="L55" s="490"/>
      <c r="M55" s="490"/>
      <c r="N55" s="490"/>
      <c r="O55" s="490"/>
      <c r="P55" s="490"/>
    </row>
    <row r="56" spans="1:40" s="139" customFormat="1" ht="3" customHeight="1">
      <c r="A56" s="185"/>
      <c r="B56" s="227"/>
      <c r="C56" s="227"/>
      <c r="D56" s="227"/>
      <c r="E56" s="227"/>
      <c r="F56" s="227"/>
      <c r="G56" s="227"/>
      <c r="H56" s="227"/>
      <c r="I56" s="227"/>
      <c r="J56" s="227"/>
      <c r="K56" s="227"/>
      <c r="L56" s="227"/>
      <c r="M56" s="227"/>
      <c r="N56" s="227"/>
      <c r="O56" s="227"/>
      <c r="P56" s="227"/>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row>
    <row r="57" spans="1:40">
      <c r="A57" s="186"/>
      <c r="B57" s="186"/>
      <c r="C57" s="186"/>
      <c r="D57" s="186"/>
      <c r="E57" s="186"/>
      <c r="F57" s="186"/>
      <c r="G57" s="186"/>
      <c r="H57" s="186"/>
      <c r="I57" s="186"/>
      <c r="J57" s="186"/>
      <c r="K57" s="186"/>
      <c r="L57" s="186"/>
      <c r="M57" s="256"/>
      <c r="N57" s="186"/>
      <c r="O57" s="186"/>
      <c r="P57" s="192" t="s">
        <v>923</v>
      </c>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row>
    <row r="58" spans="1:40" ht="18">
      <c r="A58" s="134" t="s">
        <v>688</v>
      </c>
      <c r="B58" s="135"/>
      <c r="C58" s="135"/>
      <c r="D58" s="135"/>
      <c r="E58" s="135"/>
      <c r="F58" s="135"/>
      <c r="G58" s="230"/>
      <c r="H58" s="230"/>
      <c r="I58" s="263" t="s">
        <v>533</v>
      </c>
      <c r="J58" s="263"/>
      <c r="K58" s="263"/>
      <c r="L58" s="263"/>
      <c r="M58" s="263"/>
    </row>
    <row r="59" spans="1:40" ht="9.75" customHeight="1">
      <c r="A59" s="140"/>
      <c r="B59" s="136"/>
      <c r="C59" s="136"/>
      <c r="D59" s="136"/>
      <c r="E59" s="136"/>
      <c r="F59" s="136"/>
      <c r="G59" s="136"/>
      <c r="H59" s="136"/>
      <c r="I59" s="265"/>
      <c r="J59" s="265"/>
      <c r="K59" s="265"/>
      <c r="L59" s="265"/>
      <c r="M59" s="265"/>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row>
    <row r="60" spans="1:40" ht="17.5">
      <c r="A60" s="142" t="s">
        <v>689</v>
      </c>
      <c r="B60" s="135"/>
      <c r="C60" s="135"/>
      <c r="D60" s="135"/>
      <c r="E60" s="135"/>
      <c r="F60" s="135"/>
      <c r="G60" s="230"/>
      <c r="H60" s="230"/>
      <c r="I60" s="263" t="s">
        <v>533</v>
      </c>
      <c r="J60" s="263"/>
      <c r="K60" s="263"/>
      <c r="L60" s="263"/>
      <c r="M60" s="263"/>
    </row>
    <row r="61" spans="1:40" s="240" customFormat="1" ht="15.5">
      <c r="A61" s="142" t="s">
        <v>690</v>
      </c>
      <c r="B61" s="136"/>
      <c r="C61" s="136"/>
      <c r="D61" s="136"/>
      <c r="E61" s="136"/>
      <c r="F61" s="136"/>
      <c r="G61" s="230"/>
      <c r="H61" s="230"/>
      <c r="I61" s="263" t="s">
        <v>533</v>
      </c>
      <c r="J61" s="263"/>
      <c r="K61" s="263"/>
      <c r="L61" s="263"/>
      <c r="M61" s="263"/>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row>
    <row r="62" spans="1:40" s="244" customFormat="1" ht="15.5">
      <c r="A62" s="142" t="s">
        <v>879</v>
      </c>
      <c r="B62" s="136"/>
      <c r="C62" s="136"/>
      <c r="D62" s="136"/>
      <c r="E62" s="136"/>
      <c r="F62" s="136"/>
      <c r="G62" s="230"/>
      <c r="H62" s="230"/>
      <c r="I62" s="263" t="s">
        <v>533</v>
      </c>
      <c r="J62" s="263"/>
      <c r="K62" s="263"/>
      <c r="L62" s="263"/>
      <c r="M62" s="263"/>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row>
    <row r="63" spans="1:40" ht="12" customHeight="1">
      <c r="A63" s="273"/>
      <c r="B63" s="234"/>
      <c r="C63" s="234"/>
      <c r="D63" s="234"/>
      <c r="E63" s="234"/>
      <c r="F63" s="234"/>
      <c r="G63" s="234"/>
      <c r="H63" s="234"/>
    </row>
    <row r="64" spans="1:40" ht="15.75" customHeight="1">
      <c r="A64" s="285"/>
      <c r="B64" s="151" t="s">
        <v>517</v>
      </c>
      <c r="C64" s="151"/>
      <c r="D64" s="151"/>
      <c r="E64" s="151"/>
      <c r="F64" s="151"/>
      <c r="G64" s="151"/>
      <c r="H64" s="151"/>
      <c r="I64" s="244" t="s">
        <v>533</v>
      </c>
      <c r="J64" s="244"/>
      <c r="K64" s="244"/>
      <c r="L64" s="244"/>
      <c r="M64" s="244"/>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row>
    <row r="65" spans="1:40" ht="15.75" customHeight="1">
      <c r="A65" s="286"/>
      <c r="B65" s="157">
        <v>1</v>
      </c>
      <c r="C65" s="157">
        <v>2</v>
      </c>
      <c r="D65" s="157">
        <v>3</v>
      </c>
      <c r="E65" s="157">
        <v>4</v>
      </c>
      <c r="F65" s="157">
        <v>5</v>
      </c>
      <c r="G65" s="157">
        <v>6</v>
      </c>
      <c r="H65" s="156" t="s">
        <v>694</v>
      </c>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row>
    <row r="66" spans="1:40" ht="15.75" customHeight="1">
      <c r="A66" s="139" t="s">
        <v>618</v>
      </c>
      <c r="B66" s="268">
        <f>+'NEW...Tables 91-112'!J41+'NEW...Tables 91-112'!K41</f>
        <v>66.751531400560324</v>
      </c>
      <c r="C66" s="268">
        <f>+'NEW...Tables 91-112'!J72+'NEW...Tables 91-112'!K72</f>
        <v>53.060654429369514</v>
      </c>
      <c r="D66" s="268">
        <f>+'NEW...Tables 91-112'!J102+'NEW...Tables 91-112'!K102</f>
        <v>20.776525955504852</v>
      </c>
      <c r="E66" s="268">
        <f>+'NEW...Tables 91-112'!J133+'NEW...Tables 91-112'!K133</f>
        <v>8.4188348522060021</v>
      </c>
      <c r="F66" s="268">
        <f>+'NEW...Tables 91-112'!J164+'NEW...Tables 91-112'!K164</f>
        <v>58.161886169094458</v>
      </c>
      <c r="G66" s="268">
        <f>+'NEW...Tables 91-112'!J194+'NEW...Tables 91-112'!K194</f>
        <v>2.112676056338028</v>
      </c>
      <c r="H66" s="249">
        <f>+'NEW...Tables 91-112'!J9+'NEW...Tables 91-112'!K9</f>
        <v>44.977011929968967</v>
      </c>
      <c r="I66" s="269"/>
      <c r="J66" s="269"/>
      <c r="K66" s="269"/>
      <c r="L66" s="269"/>
      <c r="M66" s="269"/>
    </row>
    <row r="67" spans="1:40" ht="15.75" customHeight="1">
      <c r="A67" s="139" t="s">
        <v>619</v>
      </c>
      <c r="B67" s="245">
        <f>+'NEW...Tables 91-112'!J42+'NEW...Tables 91-112'!K42</f>
        <v>59.999747001973383</v>
      </c>
      <c r="C67" s="245">
        <f>+'NEW...Tables 91-112'!J73+'NEW...Tables 91-112'!K73</f>
        <v>66.678529387609842</v>
      </c>
      <c r="D67" s="245">
        <f>+'NEW...Tables 91-112'!J103+'NEW...Tables 91-112'!K103</f>
        <v>24.781565485083071</v>
      </c>
      <c r="E67" s="245">
        <f>+'NEW...Tables 91-112'!J134+'NEW...Tables 91-112'!K134</f>
        <v>10.043750590160839</v>
      </c>
      <c r="F67" s="245">
        <f>+'NEW...Tables 91-112'!J165+'NEW...Tables 91-112'!K165</f>
        <v>0</v>
      </c>
      <c r="G67" s="245">
        <f>+'NEW...Tables 91-112'!J195+'NEW...Tables 91-112'!K195</f>
        <v>44.675925925925924</v>
      </c>
      <c r="H67" s="247">
        <f>+'NEW...Tables 91-112'!J10+'NEW...Tables 91-112'!K10</f>
        <v>44.072821026065007</v>
      </c>
      <c r="I67" s="269"/>
      <c r="J67" s="269"/>
      <c r="K67" s="269"/>
      <c r="L67" s="269"/>
      <c r="M67" s="269"/>
    </row>
    <row r="68" spans="1:40" ht="15.75" customHeight="1">
      <c r="A68" s="139" t="s">
        <v>620</v>
      </c>
      <c r="B68" s="245">
        <f>+'NEW...Tables 91-112'!J43+'NEW...Tables 91-112'!K43</f>
        <v>49.689041389663309</v>
      </c>
      <c r="C68" s="245">
        <f>+'NEW...Tables 91-112'!J74+'NEW...Tables 91-112'!K74</f>
        <v>0</v>
      </c>
      <c r="D68" s="245">
        <f>+'NEW...Tables 91-112'!J104+'NEW...Tables 91-112'!K104</f>
        <v>54.222792388283089</v>
      </c>
      <c r="E68" s="245">
        <f>+'NEW...Tables 91-112'!J135+'NEW...Tables 91-112'!K135</f>
        <v>0</v>
      </c>
      <c r="F68" s="245">
        <f>+'NEW...Tables 91-112'!J166+'NEW...Tables 91-112'!K166</f>
        <v>0</v>
      </c>
      <c r="G68" s="245">
        <f>+'NEW...Tables 91-112'!J196+'NEW...Tables 91-112'!K196</f>
        <v>0</v>
      </c>
      <c r="H68" s="247">
        <f>+'NEW...Tables 91-112'!J11+'NEW...Tables 91-112'!K11</f>
        <v>50.194135442223867</v>
      </c>
      <c r="I68" s="269"/>
      <c r="J68" s="269"/>
      <c r="K68" s="269"/>
      <c r="L68" s="269"/>
      <c r="M68" s="269"/>
    </row>
    <row r="69" spans="1:40" ht="15.75" customHeight="1">
      <c r="A69" s="139" t="s">
        <v>621</v>
      </c>
      <c r="B69" s="245">
        <f>+'NEW...Tables 91-112'!J44+'NEW...Tables 91-112'!K44</f>
        <v>0</v>
      </c>
      <c r="C69" s="245">
        <f>+'NEW...Tables 91-112'!J75+'NEW...Tables 91-112'!K75</f>
        <v>0</v>
      </c>
      <c r="D69" s="245">
        <f>+'NEW...Tables 91-112'!J105+'NEW...Tables 91-112'!K105</f>
        <v>0</v>
      </c>
      <c r="E69" s="245">
        <f>+'NEW...Tables 91-112'!J136+'NEW...Tables 91-112'!K136</f>
        <v>0</v>
      </c>
      <c r="F69" s="245">
        <f>+'NEW...Tables 91-112'!J167+'NEW...Tables 91-112'!K167</f>
        <v>0</v>
      </c>
      <c r="G69" s="245">
        <f>+'NEW...Tables 91-112'!J197+'NEW...Tables 91-112'!K197</f>
        <v>0</v>
      </c>
      <c r="H69" s="247">
        <f>+'NEW...Tables 91-112'!J12+'NEW...Tables 91-112'!K12</f>
        <v>0</v>
      </c>
      <c r="I69" s="269"/>
      <c r="J69" s="269"/>
      <c r="K69" s="269"/>
      <c r="L69" s="269"/>
      <c r="M69" s="269"/>
    </row>
    <row r="70" spans="1:40" ht="15.75" customHeight="1">
      <c r="A70" s="139"/>
      <c r="B70" s="245"/>
      <c r="C70" s="245"/>
      <c r="D70" s="245"/>
      <c r="E70" s="245"/>
      <c r="F70" s="245"/>
      <c r="G70" s="245"/>
      <c r="H70" s="247"/>
      <c r="I70" s="269"/>
      <c r="J70" s="269"/>
      <c r="K70" s="269"/>
      <c r="L70" s="269"/>
      <c r="M70" s="269"/>
    </row>
    <row r="71" spans="1:40" ht="15.75" customHeight="1">
      <c r="A71" s="139" t="s">
        <v>622</v>
      </c>
      <c r="B71" s="245">
        <f>+'NEW...Tables 91-112'!J46+'NEW...Tables 91-112'!K46</f>
        <v>68.02321835077791</v>
      </c>
      <c r="C71" s="245">
        <f>+'NEW...Tables 91-112'!J77+'NEW...Tables 91-112'!K77</f>
        <v>39.580273552193297</v>
      </c>
      <c r="D71" s="245">
        <f>+'NEW...Tables 91-112'!J107+'NEW...Tables 91-112'!K107</f>
        <v>20.902182402134137</v>
      </c>
      <c r="E71" s="245">
        <f>+'NEW...Tables 91-112'!J138+'NEW...Tables 91-112'!K138</f>
        <v>60.616710049239771</v>
      </c>
      <c r="F71" s="245">
        <f>+'NEW...Tables 91-112'!J169+'NEW...Tables 91-112'!K169</f>
        <v>33.756109633112665</v>
      </c>
      <c r="G71" s="245">
        <f>+'NEW...Tables 91-112'!J199+'NEW...Tables 91-112'!K199</f>
        <v>0</v>
      </c>
      <c r="H71" s="247">
        <f>+'NEW...Tables 91-112'!J14+'NEW...Tables 91-112'!K14</f>
        <v>50.923119591715839</v>
      </c>
      <c r="I71" s="269"/>
      <c r="J71" s="269"/>
      <c r="K71" s="269"/>
      <c r="L71" s="269"/>
      <c r="M71" s="269"/>
    </row>
    <row r="72" spans="1:40" ht="15.75" customHeight="1">
      <c r="A72" s="139" t="s">
        <v>623</v>
      </c>
      <c r="B72" s="245">
        <f>+'NEW...Tables 91-112'!J47+'NEW...Tables 91-112'!K47</f>
        <v>48.146509515213722</v>
      </c>
      <c r="C72" s="245">
        <f>+'NEW...Tables 91-112'!J78+'NEW...Tables 91-112'!K78</f>
        <v>0</v>
      </c>
      <c r="D72" s="245">
        <f>+'NEW...Tables 91-112'!J108+'NEW...Tables 91-112'!K108</f>
        <v>27.775619861461774</v>
      </c>
      <c r="E72" s="245">
        <f>+'NEW...Tables 91-112'!J139+'NEW...Tables 91-112'!K139</f>
        <v>57.210031347962385</v>
      </c>
      <c r="F72" s="245">
        <f>+'NEW...Tables 91-112'!J170+'NEW...Tables 91-112'!K170</f>
        <v>0</v>
      </c>
      <c r="G72" s="245">
        <f>+'NEW...Tables 91-112'!J200+'NEW...Tables 91-112'!K200</f>
        <v>0</v>
      </c>
      <c r="H72" s="247">
        <f>+'NEW...Tables 91-112'!J15+'NEW...Tables 91-112'!K15</f>
        <v>37.611968744044212</v>
      </c>
      <c r="I72" s="269"/>
      <c r="J72" s="269"/>
      <c r="K72" s="269"/>
      <c r="L72" s="269"/>
      <c r="M72" s="269"/>
    </row>
    <row r="73" spans="1:40" ht="15.75" customHeight="1">
      <c r="A73" s="139" t="s">
        <v>624</v>
      </c>
      <c r="B73" s="245">
        <f>+'NEW...Tables 91-112'!J48+'NEW...Tables 91-112'!K48</f>
        <v>81.099033816425163</v>
      </c>
      <c r="C73" s="245">
        <f>+'NEW...Tables 91-112'!J79+'NEW...Tables 91-112'!K79</f>
        <v>70.729974668528939</v>
      </c>
      <c r="D73" s="245">
        <f>+'NEW...Tables 91-112'!J109+'NEW...Tables 91-112'!K109</f>
        <v>40.222567864178949</v>
      </c>
      <c r="E73" s="245">
        <f>+'NEW...Tables 91-112'!J140+'NEW...Tables 91-112'!K140</f>
        <v>22.744955900219839</v>
      </c>
      <c r="F73" s="245">
        <f>+'NEW...Tables 91-112'!J171+'NEW...Tables 91-112'!K171</f>
        <v>0</v>
      </c>
      <c r="G73" s="245">
        <f>+'NEW...Tables 91-112'!J201+'NEW...Tables 91-112'!K201</f>
        <v>0</v>
      </c>
      <c r="H73" s="247">
        <f>+'NEW...Tables 91-112'!J16+'NEW...Tables 91-112'!K16</f>
        <v>53.120721797986548</v>
      </c>
      <c r="I73" s="269"/>
      <c r="J73" s="269"/>
      <c r="K73" s="269"/>
      <c r="L73" s="269"/>
      <c r="M73" s="269"/>
    </row>
    <row r="74" spans="1:40" ht="15.75" customHeight="1">
      <c r="A74" s="139" t="s">
        <v>625</v>
      </c>
      <c r="B74" s="245">
        <f>+'NEW...Tables 91-112'!J49+'NEW...Tables 91-112'!K49</f>
        <v>59.022185483440893</v>
      </c>
      <c r="C74" s="245">
        <f>+'NEW...Tables 91-112'!J80+'NEW...Tables 91-112'!K80</f>
        <v>51.622760461899716</v>
      </c>
      <c r="D74" s="245">
        <f>+'NEW...Tables 91-112'!J110+'NEW...Tables 91-112'!K110</f>
        <v>59.771341192368553</v>
      </c>
      <c r="E74" s="245">
        <f>+'NEW...Tables 91-112'!J141+'NEW...Tables 91-112'!K141</f>
        <v>40.366171906514204</v>
      </c>
      <c r="F74" s="245">
        <f>+'NEW...Tables 91-112'!J172+'NEW...Tables 91-112'!K172</f>
        <v>80.667372881355931</v>
      </c>
      <c r="G74" s="245">
        <f>+'NEW...Tables 91-112'!J202+'NEW...Tables 91-112'!K202</f>
        <v>32.845894263217097</v>
      </c>
      <c r="H74" s="247">
        <f>+'NEW...Tables 91-112'!J17+'NEW...Tables 91-112'!K17</f>
        <v>41.007932774818528</v>
      </c>
      <c r="I74" s="269"/>
      <c r="J74" s="269"/>
      <c r="K74" s="269"/>
      <c r="L74" s="269"/>
      <c r="M74" s="269"/>
    </row>
    <row r="75" spans="1:40" ht="15.75" customHeight="1">
      <c r="A75" s="139"/>
      <c r="B75" s="245"/>
      <c r="C75" s="245"/>
      <c r="D75" s="245"/>
      <c r="E75" s="245"/>
      <c r="F75" s="245"/>
      <c r="G75" s="245"/>
      <c r="H75" s="247"/>
      <c r="I75" s="269"/>
      <c r="J75" s="269"/>
      <c r="K75" s="269"/>
      <c r="L75" s="269"/>
      <c r="M75" s="269"/>
    </row>
    <row r="76" spans="1:40" ht="15.75" customHeight="1">
      <c r="A76" s="139" t="s">
        <v>626</v>
      </c>
      <c r="B76" s="245">
        <f>+'NEW...Tables 91-112'!J51+'NEW...Tables 91-112'!K51</f>
        <v>54.731437430974431</v>
      </c>
      <c r="C76" s="245">
        <f>+'NEW...Tables 91-112'!J82+'NEW...Tables 91-112'!K82</f>
        <v>30.157900847556022</v>
      </c>
      <c r="D76" s="245">
        <f>+'NEW...Tables 91-112'!J112+'NEW...Tables 91-112'!K112</f>
        <v>0</v>
      </c>
      <c r="E76" s="245">
        <f>+'NEW...Tables 91-112'!J143+'NEW...Tables 91-112'!K143</f>
        <v>18.224976547175714</v>
      </c>
      <c r="F76" s="245">
        <f>+'NEW...Tables 91-112'!J174+'NEW...Tables 91-112'!K174</f>
        <v>0</v>
      </c>
      <c r="G76" s="245">
        <f>+'NEW...Tables 91-112'!J204+'NEW...Tables 91-112'!K204</f>
        <v>0</v>
      </c>
      <c r="H76" s="247">
        <f>+'NEW...Tables 91-112'!J19+'NEW...Tables 91-112'!K19</f>
        <v>46.471420541546337</v>
      </c>
      <c r="I76" s="269"/>
      <c r="J76" s="269"/>
      <c r="K76" s="269"/>
      <c r="L76" s="269"/>
      <c r="M76" s="269"/>
    </row>
    <row r="77" spans="1:40" ht="15.75" customHeight="1">
      <c r="A77" s="139" t="s">
        <v>627</v>
      </c>
      <c r="B77" s="245">
        <f>+'NEW...Tables 91-112'!J52+'NEW...Tables 91-112'!K52</f>
        <v>53.573328915439561</v>
      </c>
      <c r="C77" s="245">
        <f>+'NEW...Tables 91-112'!J83+'NEW...Tables 91-112'!K83</f>
        <v>27.507461185070923</v>
      </c>
      <c r="D77" s="245">
        <f>+'NEW...Tables 91-112'!J113+'NEW...Tables 91-112'!K113</f>
        <v>37.336235314005577</v>
      </c>
      <c r="E77" s="245">
        <f>+'NEW...Tables 91-112'!J144+'NEW...Tables 91-112'!K144</f>
        <v>21.893659368780209</v>
      </c>
      <c r="F77" s="245">
        <f>+'NEW...Tables 91-112'!J175+'NEW...Tables 91-112'!K175</f>
        <v>17.989665354330711</v>
      </c>
      <c r="G77" s="245">
        <f>+'NEW...Tables 91-112'!J205+'NEW...Tables 91-112'!K205</f>
        <v>32.489451476793249</v>
      </c>
      <c r="H77" s="247">
        <f>+'NEW...Tables 91-112'!J20+'NEW...Tables 91-112'!K20</f>
        <v>45.017769880053308</v>
      </c>
      <c r="I77" s="269"/>
      <c r="J77" s="269"/>
      <c r="K77" s="269"/>
      <c r="L77" s="269"/>
      <c r="M77" s="269"/>
    </row>
    <row r="78" spans="1:40" ht="15.75" customHeight="1">
      <c r="A78" s="139" t="s">
        <v>628</v>
      </c>
      <c r="B78" s="245">
        <f>+'NEW...Tables 91-112'!J53+'NEW...Tables 91-112'!K53</f>
        <v>0</v>
      </c>
      <c r="C78" s="245">
        <f>+'NEW...Tables 91-112'!J84+'NEW...Tables 91-112'!K84</f>
        <v>0</v>
      </c>
      <c r="D78" s="245">
        <f>+'NEW...Tables 91-112'!J114+'NEW...Tables 91-112'!K114</f>
        <v>0</v>
      </c>
      <c r="E78" s="245">
        <f>+'NEW...Tables 91-112'!J145+'NEW...Tables 91-112'!K145</f>
        <v>0</v>
      </c>
      <c r="F78" s="245">
        <f>+'NEW...Tables 91-112'!J176+'NEW...Tables 91-112'!K176</f>
        <v>0</v>
      </c>
      <c r="G78" s="245">
        <f>+'NEW...Tables 91-112'!J206+'NEW...Tables 91-112'!K206</f>
        <v>0</v>
      </c>
      <c r="H78" s="247">
        <f>+'NEW...Tables 91-112'!J21+'NEW...Tables 91-112'!K21</f>
        <v>0</v>
      </c>
      <c r="I78" s="269"/>
      <c r="J78" s="269"/>
      <c r="K78" s="269"/>
      <c r="L78" s="269"/>
      <c r="M78" s="269"/>
    </row>
    <row r="79" spans="1:40" ht="15.75" customHeight="1">
      <c r="A79" s="139" t="s">
        <v>629</v>
      </c>
      <c r="B79" s="245">
        <f>+'NEW...Tables 91-112'!J54+'NEW...Tables 91-112'!K54</f>
        <v>55.450116278634319</v>
      </c>
      <c r="C79" s="245">
        <f>+'NEW...Tables 91-112'!J85+'NEW...Tables 91-112'!K85</f>
        <v>0</v>
      </c>
      <c r="D79" s="245">
        <f>+'NEW...Tables 91-112'!J115+'NEW...Tables 91-112'!K115</f>
        <v>34.88512570559687</v>
      </c>
      <c r="E79" s="245">
        <f>+'NEW...Tables 91-112'!J146+'NEW...Tables 91-112'!K146</f>
        <v>37.703235990528803</v>
      </c>
      <c r="F79" s="245">
        <f>+'NEW...Tables 91-112'!J177+'NEW...Tables 91-112'!K177</f>
        <v>49.237699237699239</v>
      </c>
      <c r="G79" s="245">
        <f>+'NEW...Tables 91-112'!J207+'NEW...Tables 91-112'!K207</f>
        <v>19.852052066292057</v>
      </c>
      <c r="H79" s="247">
        <f>+'NEW...Tables 91-112'!J22+'NEW...Tables 91-112'!K22</f>
        <v>50.381107537212642</v>
      </c>
      <c r="I79" s="269"/>
      <c r="J79" s="269"/>
      <c r="K79" s="269"/>
      <c r="L79" s="269"/>
      <c r="M79" s="269"/>
    </row>
    <row r="80" spans="1:40" ht="15.75" customHeight="1">
      <c r="A80" s="139"/>
      <c r="B80" s="245"/>
      <c r="C80" s="245"/>
      <c r="D80" s="245"/>
      <c r="E80" s="245"/>
      <c r="F80" s="245"/>
      <c r="G80" s="245"/>
      <c r="H80" s="247"/>
      <c r="I80" s="269"/>
      <c r="J80" s="269"/>
      <c r="K80" s="269"/>
      <c r="L80" s="269"/>
      <c r="M80" s="269"/>
    </row>
    <row r="81" spans="1:40" ht="15.75" customHeight="1">
      <c r="A81" s="139" t="s">
        <v>630</v>
      </c>
      <c r="B81" s="245">
        <f>+'NEW...Tables 91-112'!J56+'NEW...Tables 91-112'!K56</f>
        <v>55.400671913880458</v>
      </c>
      <c r="C81" s="245">
        <f>+'NEW...Tables 91-112'!J87+'NEW...Tables 91-112'!K87</f>
        <v>37.332911805095883</v>
      </c>
      <c r="D81" s="245">
        <f>+'NEW...Tables 91-112'!J117+'NEW...Tables 91-112'!K117</f>
        <v>20.410169542794055</v>
      </c>
      <c r="E81" s="245">
        <f>+'NEW...Tables 91-112'!J148+'NEW...Tables 91-112'!K148</f>
        <v>4.8190704853369919</v>
      </c>
      <c r="F81" s="245">
        <f>+'NEW...Tables 91-112'!J179+'NEW...Tables 91-112'!K179</f>
        <v>0</v>
      </c>
      <c r="G81" s="245">
        <f>+'NEW...Tables 91-112'!J209+'NEW...Tables 91-112'!K209</f>
        <v>0</v>
      </c>
      <c r="H81" s="247">
        <f>+'NEW...Tables 91-112'!J24+'NEW...Tables 91-112'!K24</f>
        <v>41.746662396380643</v>
      </c>
      <c r="I81" s="269"/>
      <c r="J81" s="269"/>
      <c r="K81" s="269"/>
      <c r="L81" s="269"/>
      <c r="M81" s="269"/>
    </row>
    <row r="82" spans="1:40" s="186" customFormat="1">
      <c r="A82" s="139" t="s">
        <v>631</v>
      </c>
      <c r="B82" s="245">
        <f>+'NEW...Tables 91-112'!J57+'NEW...Tables 91-112'!K57</f>
        <v>51.33675755988844</v>
      </c>
      <c r="C82" s="245">
        <f>+'NEW...Tables 91-112'!J88+'NEW...Tables 91-112'!K88</f>
        <v>39.303173125493124</v>
      </c>
      <c r="D82" s="245">
        <f>+'NEW...Tables 91-112'!J118+'NEW...Tables 91-112'!K118</f>
        <v>20.278556146041822</v>
      </c>
      <c r="E82" s="245">
        <f>+'NEW...Tables 91-112'!J149+'NEW...Tables 91-112'!K149</f>
        <v>19.219781763686601</v>
      </c>
      <c r="F82" s="245">
        <f>+'NEW...Tables 91-112'!J180+'NEW...Tables 91-112'!K180</f>
        <v>39.92378390495405</v>
      </c>
      <c r="G82" s="245">
        <f>+'NEW...Tables 91-112'!J210+'NEW...Tables 91-112'!K210</f>
        <v>0</v>
      </c>
      <c r="H82" s="247">
        <f>+'NEW...Tables 91-112'!J25+'NEW...Tables 91-112'!K25</f>
        <v>39.435987366333251</v>
      </c>
      <c r="I82" s="269"/>
      <c r="J82" s="269"/>
      <c r="K82" s="269"/>
      <c r="L82" s="269"/>
      <c r="M82" s="26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row>
    <row r="83" spans="1:40" s="186" customFormat="1">
      <c r="A83" s="139" t="s">
        <v>632</v>
      </c>
      <c r="B83" s="245">
        <f>+'NEW...Tables 91-112'!J58+'NEW...Tables 91-112'!K58</f>
        <v>61.171228340093336</v>
      </c>
      <c r="C83" s="245">
        <f>+'NEW...Tables 91-112'!J89+'NEW...Tables 91-112'!K89</f>
        <v>51.263006268760009</v>
      </c>
      <c r="D83" s="245">
        <f>+'NEW...Tables 91-112'!J119+'NEW...Tables 91-112'!K119</f>
        <v>49.91676084235597</v>
      </c>
      <c r="E83" s="245">
        <f>+'NEW...Tables 91-112'!J150+'NEW...Tables 91-112'!K150</f>
        <v>72.064203941933201</v>
      </c>
      <c r="F83" s="245">
        <f>+'NEW...Tables 91-112'!J181+'NEW...Tables 91-112'!K181</f>
        <v>26.820921260822416</v>
      </c>
      <c r="G83" s="245">
        <f>+'NEW...Tables 91-112'!J211+'NEW...Tables 91-112'!K211</f>
        <v>0</v>
      </c>
      <c r="H83" s="247">
        <f>+'NEW...Tables 91-112'!J26+'NEW...Tables 91-112'!K26</f>
        <v>58.689704757694599</v>
      </c>
      <c r="I83" s="269"/>
      <c r="J83" s="269"/>
      <c r="K83" s="269"/>
      <c r="L83" s="269"/>
      <c r="M83" s="26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row>
    <row r="84" spans="1:40" s="186" customFormat="1">
      <c r="A84" s="145" t="s">
        <v>633</v>
      </c>
      <c r="B84" s="251">
        <f>+'NEW...Tables 91-112'!J59+'NEW...Tables 91-112'!K59</f>
        <v>59.069924939330662</v>
      </c>
      <c r="C84" s="251">
        <f>+'NEW...Tables 91-112'!J90+'NEW...Tables 91-112'!K90</f>
        <v>0</v>
      </c>
      <c r="D84" s="251">
        <f>+'NEW...Tables 91-112'!J120+'NEW...Tables 91-112'!K120</f>
        <v>38.755662353265905</v>
      </c>
      <c r="E84" s="251">
        <f>+'NEW...Tables 91-112'!J151+'NEW...Tables 91-112'!K151</f>
        <v>0</v>
      </c>
      <c r="F84" s="251">
        <f>+'NEW...Tables 91-112'!J182+'NEW...Tables 91-112'!K182</f>
        <v>31.931100741147404</v>
      </c>
      <c r="G84" s="251">
        <f>+'NEW...Tables 91-112'!J212+'NEW...Tables 91-112'!K212</f>
        <v>72.078198045048865</v>
      </c>
      <c r="H84" s="253">
        <f>+'NEW...Tables 91-112'!J27+'NEW...Tables 91-112'!K27</f>
        <v>47.998436837788901</v>
      </c>
      <c r="I84" s="269"/>
      <c r="J84" s="269"/>
      <c r="K84" s="269"/>
      <c r="L84" s="269"/>
      <c r="M84" s="26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row>
    <row r="85" spans="1:40" s="139" customFormat="1" ht="40.5" customHeight="1">
      <c r="A85" s="491" t="s">
        <v>762</v>
      </c>
      <c r="B85" s="491"/>
      <c r="C85" s="491"/>
      <c r="D85" s="491"/>
      <c r="E85" s="491"/>
      <c r="F85" s="491"/>
      <c r="G85" s="491"/>
      <c r="H85" s="491"/>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row>
    <row r="86" spans="1:40">
      <c r="A86" s="186"/>
      <c r="B86" s="186"/>
      <c r="C86" s="186"/>
      <c r="D86" s="186"/>
      <c r="E86" s="186"/>
      <c r="F86" s="186"/>
      <c r="G86" s="186"/>
      <c r="H86" s="192" t="s">
        <v>923</v>
      </c>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row>
    <row r="87" spans="1:40" ht="18">
      <c r="A87" s="134" t="s">
        <v>691</v>
      </c>
      <c r="B87" s="135"/>
      <c r="C87" s="135"/>
      <c r="D87" s="135"/>
      <c r="E87" s="135"/>
      <c r="F87" s="135"/>
      <c r="G87" s="230"/>
      <c r="H87" s="230"/>
      <c r="I87" s="263" t="s">
        <v>533</v>
      </c>
      <c r="J87" s="263"/>
      <c r="K87" s="263"/>
      <c r="L87" s="263"/>
      <c r="M87" s="263"/>
    </row>
    <row r="88" spans="1:40">
      <c r="A88" s="140"/>
      <c r="B88" s="136"/>
      <c r="C88" s="136"/>
      <c r="D88" s="136"/>
      <c r="E88" s="136"/>
      <c r="F88" s="136"/>
      <c r="G88" s="136"/>
      <c r="H88" s="136"/>
      <c r="I88" s="265"/>
      <c r="J88" s="265"/>
      <c r="K88" s="265"/>
      <c r="L88" s="265"/>
      <c r="M88" s="265"/>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row>
    <row r="89" spans="1:40" s="244" customFormat="1" ht="17.5">
      <c r="A89" s="142" t="s">
        <v>692</v>
      </c>
      <c r="B89" s="135"/>
      <c r="C89" s="135"/>
      <c r="D89" s="135"/>
      <c r="E89" s="135"/>
      <c r="F89" s="135"/>
      <c r="G89" s="230"/>
      <c r="H89" s="230"/>
      <c r="I89" s="263" t="s">
        <v>533</v>
      </c>
      <c r="J89" s="263"/>
      <c r="K89" s="263"/>
      <c r="L89" s="263"/>
      <c r="M89" s="263"/>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row>
    <row r="90" spans="1:40" s="244" customFormat="1" ht="15.5">
      <c r="A90" s="142" t="s">
        <v>879</v>
      </c>
      <c r="B90" s="136"/>
      <c r="C90" s="136"/>
      <c r="D90" s="136"/>
      <c r="E90" s="136"/>
      <c r="F90" s="136"/>
      <c r="G90" s="230"/>
      <c r="H90" s="230"/>
      <c r="I90" s="263" t="s">
        <v>533</v>
      </c>
      <c r="J90" s="263"/>
      <c r="K90" s="263"/>
      <c r="L90" s="263"/>
      <c r="M90" s="263"/>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row>
    <row r="91" spans="1:40" ht="11.25" customHeight="1">
      <c r="A91" s="279"/>
      <c r="B91" s="265"/>
      <c r="C91" s="265"/>
      <c r="D91" s="265"/>
      <c r="E91" s="265"/>
      <c r="F91" s="265"/>
      <c r="G91" s="263"/>
      <c r="H91" s="263"/>
      <c r="I91" s="263"/>
      <c r="J91" s="263"/>
      <c r="K91" s="263"/>
      <c r="L91" s="263"/>
      <c r="M91" s="263"/>
    </row>
    <row r="92" spans="1:40" ht="15.75" customHeight="1">
      <c r="A92" s="275"/>
      <c r="B92" s="151" t="s">
        <v>517</v>
      </c>
      <c r="C92" s="151"/>
      <c r="D92" s="151"/>
      <c r="E92" s="151"/>
      <c r="F92" s="151"/>
      <c r="G92" s="151"/>
      <c r="H92" s="151"/>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row>
    <row r="93" spans="1:40" ht="15.75" customHeight="1">
      <c r="A93" s="275"/>
      <c r="B93" s="157">
        <v>1</v>
      </c>
      <c r="C93" s="157">
        <v>2</v>
      </c>
      <c r="D93" s="157">
        <v>3</v>
      </c>
      <c r="E93" s="157">
        <v>4</v>
      </c>
      <c r="F93" s="157">
        <v>5</v>
      </c>
      <c r="G93" s="157">
        <v>6</v>
      </c>
      <c r="H93" s="156" t="s">
        <v>694</v>
      </c>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row>
    <row r="94" spans="1:40" ht="15.75" customHeight="1">
      <c r="A94" s="139" t="s">
        <v>618</v>
      </c>
      <c r="B94" s="268">
        <f>+'NEW...Tables 91-112'!L41</f>
        <v>33.248468599439676</v>
      </c>
      <c r="C94" s="268">
        <f>+'NEW...Tables 91-112'!L72</f>
        <v>46.939345570630486</v>
      </c>
      <c r="D94" s="268">
        <f>+'NEW...Tables 91-112'!L102</f>
        <v>79.223474044495148</v>
      </c>
      <c r="E94" s="268">
        <f>+'NEW...Tables 91-112'!L133</f>
        <v>91.581165147793996</v>
      </c>
      <c r="F94" s="268">
        <f>+'NEW...Tables 91-112'!L164</f>
        <v>41.838113830905542</v>
      </c>
      <c r="G94" s="268">
        <f>+'NEW...Tables 91-112'!L194</f>
        <v>97.887323943661968</v>
      </c>
      <c r="H94" s="249">
        <f>+'NEW...Tables 91-112'!L9</f>
        <v>55.022988070031019</v>
      </c>
      <c r="I94" s="269"/>
      <c r="J94" s="269"/>
      <c r="K94" s="269"/>
      <c r="L94" s="269"/>
      <c r="M94" s="269"/>
    </row>
    <row r="95" spans="1:40" ht="15.75" customHeight="1">
      <c r="A95" s="139" t="s">
        <v>619</v>
      </c>
      <c r="B95" s="245">
        <f>+'NEW...Tables 91-112'!L42</f>
        <v>40.000252998026617</v>
      </c>
      <c r="C95" s="245">
        <f>+'NEW...Tables 91-112'!L73</f>
        <v>33.321470612390158</v>
      </c>
      <c r="D95" s="245">
        <f>+'NEW...Tables 91-112'!L103</f>
        <v>75.218434514916922</v>
      </c>
      <c r="E95" s="245">
        <f>+'NEW...Tables 91-112'!L134</f>
        <v>89.95624940983916</v>
      </c>
      <c r="F95" s="245">
        <f>+'NEW...Tables 91-112'!L165</f>
        <v>0</v>
      </c>
      <c r="G95" s="245">
        <f>+'NEW...Tables 91-112'!L195</f>
        <v>55.324074074074069</v>
      </c>
      <c r="H95" s="247">
        <f>+'NEW...Tables 91-112'!L10</f>
        <v>55.927178973934986</v>
      </c>
      <c r="I95" s="269"/>
      <c r="J95" s="269"/>
      <c r="K95" s="269"/>
      <c r="L95" s="269"/>
      <c r="M95" s="269"/>
    </row>
    <row r="96" spans="1:40" ht="15.75" customHeight="1">
      <c r="A96" s="139" t="s">
        <v>620</v>
      </c>
      <c r="B96" s="245">
        <f>+'NEW...Tables 91-112'!L43</f>
        <v>50.310958610336698</v>
      </c>
      <c r="C96" s="245">
        <f>+'NEW...Tables 91-112'!L74</f>
        <v>0</v>
      </c>
      <c r="D96" s="245">
        <f>+'NEW...Tables 91-112'!L104</f>
        <v>45.777207611716911</v>
      </c>
      <c r="E96" s="245">
        <f>+'NEW...Tables 91-112'!L135</f>
        <v>0</v>
      </c>
      <c r="F96" s="245">
        <f>+'NEW...Tables 91-112'!L166</f>
        <v>0</v>
      </c>
      <c r="G96" s="245">
        <f>+'NEW...Tables 91-112'!L196</f>
        <v>0</v>
      </c>
      <c r="H96" s="247">
        <f>+'NEW...Tables 91-112'!L11</f>
        <v>49.805864557776133</v>
      </c>
      <c r="I96" s="269"/>
      <c r="J96" s="269"/>
      <c r="K96" s="269"/>
      <c r="L96" s="269"/>
      <c r="M96" s="269"/>
    </row>
    <row r="97" spans="1:40" ht="15.75" customHeight="1">
      <c r="A97" s="139" t="s">
        <v>657</v>
      </c>
      <c r="B97" s="245">
        <f>+'NEW...Tables 91-112'!L44</f>
        <v>0</v>
      </c>
      <c r="C97" s="245">
        <f>+'NEW...Tables 91-112'!L75</f>
        <v>0</v>
      </c>
      <c r="D97" s="245">
        <f>+'NEW...Tables 91-112'!L105</f>
        <v>0</v>
      </c>
      <c r="E97" s="245">
        <f>+'NEW...Tables 91-112'!L136</f>
        <v>0</v>
      </c>
      <c r="F97" s="245">
        <f>+'NEW...Tables 91-112'!L167</f>
        <v>0</v>
      </c>
      <c r="G97" s="245">
        <f>+'NEW...Tables 91-112'!L197</f>
        <v>0</v>
      </c>
      <c r="H97" s="247">
        <f>+'NEW...Tables 91-112'!L12</f>
        <v>0</v>
      </c>
      <c r="I97" s="269"/>
      <c r="J97" s="269"/>
      <c r="K97" s="269"/>
      <c r="L97" s="269"/>
      <c r="M97" s="269"/>
    </row>
    <row r="98" spans="1:40" ht="15.75" customHeight="1">
      <c r="A98" s="139"/>
      <c r="B98" s="245"/>
      <c r="C98" s="245"/>
      <c r="D98" s="245"/>
      <c r="E98" s="245"/>
      <c r="F98" s="245"/>
      <c r="G98" s="245"/>
      <c r="H98" s="247"/>
      <c r="I98" s="269"/>
      <c r="J98" s="269"/>
      <c r="K98" s="269"/>
      <c r="L98" s="269"/>
      <c r="M98" s="269"/>
    </row>
    <row r="99" spans="1:40" ht="15.75" customHeight="1">
      <c r="A99" s="139" t="s">
        <v>622</v>
      </c>
      <c r="B99" s="245">
        <f>+'NEW...Tables 91-112'!L46</f>
        <v>31.97678164922209</v>
      </c>
      <c r="C99" s="245">
        <f>+'NEW...Tables 91-112'!L77</f>
        <v>60.419726447806696</v>
      </c>
      <c r="D99" s="245">
        <f>+'NEW...Tables 91-112'!L107</f>
        <v>79.097817597865856</v>
      </c>
      <c r="E99" s="245">
        <f>+'NEW...Tables 91-112'!L138</f>
        <v>39.383289950760229</v>
      </c>
      <c r="F99" s="245">
        <f>+'NEW...Tables 91-112'!L169</f>
        <v>66.243890366887328</v>
      </c>
      <c r="G99" s="245">
        <f>+'NEW...Tables 91-112'!L199</f>
        <v>0</v>
      </c>
      <c r="H99" s="247">
        <f>+'NEW...Tables 91-112'!L14</f>
        <v>49.076880408284168</v>
      </c>
      <c r="I99" s="269"/>
      <c r="J99" s="269"/>
      <c r="K99" s="269"/>
      <c r="L99" s="269"/>
      <c r="M99" s="269"/>
    </row>
    <row r="100" spans="1:40" ht="15.75" customHeight="1">
      <c r="A100" s="139" t="s">
        <v>623</v>
      </c>
      <c r="B100" s="245">
        <f>+'NEW...Tables 91-112'!L47</f>
        <v>51.853490484786278</v>
      </c>
      <c r="C100" s="245">
        <f>+'NEW...Tables 91-112'!L78</f>
        <v>0</v>
      </c>
      <c r="D100" s="245">
        <f>+'NEW...Tables 91-112'!L108</f>
        <v>72.224380138538223</v>
      </c>
      <c r="E100" s="245">
        <f>+'NEW...Tables 91-112'!L139</f>
        <v>42.789968652037622</v>
      </c>
      <c r="F100" s="245">
        <f>+'NEW...Tables 91-112'!L170</f>
        <v>0</v>
      </c>
      <c r="G100" s="245">
        <f>+'NEW...Tables 91-112'!L200</f>
        <v>0</v>
      </c>
      <c r="H100" s="247">
        <f>+'NEW...Tables 91-112'!L15</f>
        <v>62.388031255955788</v>
      </c>
      <c r="I100" s="269"/>
      <c r="J100" s="269"/>
      <c r="K100" s="269"/>
      <c r="L100" s="269"/>
      <c r="M100" s="269"/>
    </row>
    <row r="101" spans="1:40" ht="15.75" customHeight="1">
      <c r="A101" s="139" t="s">
        <v>624</v>
      </c>
      <c r="B101" s="245">
        <f>+'NEW...Tables 91-112'!L48</f>
        <v>18.900966183574834</v>
      </c>
      <c r="C101" s="245">
        <f>+'NEW...Tables 91-112'!L79</f>
        <v>29.270025331471068</v>
      </c>
      <c r="D101" s="245">
        <f>+'NEW...Tables 91-112'!L109</f>
        <v>59.777432135821066</v>
      </c>
      <c r="E101" s="245">
        <f>+'NEW...Tables 91-112'!L140</f>
        <v>77.25504409978015</v>
      </c>
      <c r="F101" s="245">
        <f>+'NEW...Tables 91-112'!L171</f>
        <v>100</v>
      </c>
      <c r="G101" s="245">
        <f>+'NEW...Tables 91-112'!L201</f>
        <v>0</v>
      </c>
      <c r="H101" s="247">
        <f>+'NEW...Tables 91-112'!L16</f>
        <v>46.879278202013467</v>
      </c>
      <c r="I101" s="269"/>
      <c r="J101" s="269"/>
      <c r="K101" s="269"/>
      <c r="L101" s="269"/>
      <c r="M101" s="269"/>
    </row>
    <row r="102" spans="1:40" ht="15.75" customHeight="1">
      <c r="A102" s="139" t="s">
        <v>625</v>
      </c>
      <c r="B102" s="245">
        <f>+'NEW...Tables 91-112'!L49</f>
        <v>40.977814516559114</v>
      </c>
      <c r="C102" s="245">
        <f>+'NEW...Tables 91-112'!L80</f>
        <v>48.377239538100291</v>
      </c>
      <c r="D102" s="245">
        <f>+'NEW...Tables 91-112'!L110</f>
        <v>40.228658807631447</v>
      </c>
      <c r="E102" s="245">
        <f>+'NEW...Tables 91-112'!L141</f>
        <v>59.633828093485796</v>
      </c>
      <c r="F102" s="245">
        <f>+'NEW...Tables 91-112'!L172</f>
        <v>19.332627118644069</v>
      </c>
      <c r="G102" s="245">
        <f>+'NEW...Tables 91-112'!L202</f>
        <v>67.154105736782896</v>
      </c>
      <c r="H102" s="247">
        <f>+'NEW...Tables 91-112'!L17</f>
        <v>58.992067225181472</v>
      </c>
      <c r="I102" s="269"/>
      <c r="J102" s="269"/>
      <c r="K102" s="269"/>
      <c r="L102" s="269"/>
      <c r="M102" s="269"/>
    </row>
    <row r="103" spans="1:40" ht="15.75" customHeight="1">
      <c r="A103" s="139"/>
      <c r="B103" s="245"/>
      <c r="C103" s="245"/>
      <c r="D103" s="245"/>
      <c r="E103" s="245"/>
      <c r="F103" s="245"/>
      <c r="G103" s="245"/>
      <c r="H103" s="247"/>
      <c r="I103" s="269"/>
      <c r="J103" s="269"/>
      <c r="K103" s="269"/>
      <c r="L103" s="269"/>
      <c r="M103" s="269"/>
    </row>
    <row r="104" spans="1:40" ht="15.75" customHeight="1">
      <c r="A104" s="139" t="s">
        <v>626</v>
      </c>
      <c r="B104" s="245" t="s">
        <v>533</v>
      </c>
      <c r="C104" s="245">
        <f>+'NEW...Tables 91-112'!L82</f>
        <v>69.842099152443978</v>
      </c>
      <c r="D104" s="245">
        <f>+'NEW...Tables 91-112'!L112</f>
        <v>0</v>
      </c>
      <c r="E104" s="245">
        <f>+'NEW...Tables 91-112'!L143</f>
        <v>81.416834863689346</v>
      </c>
      <c r="F104" s="245">
        <f>+'NEW...Tables 91-112'!L174</f>
        <v>0</v>
      </c>
      <c r="G104" s="245">
        <f>+'NEW...Tables 91-112'!L204</f>
        <v>0</v>
      </c>
      <c r="H104" s="247">
        <f>+'NEW...Tables 91-112'!L19</f>
        <v>53.458802550733623</v>
      </c>
      <c r="I104" s="269"/>
      <c r="J104" s="269"/>
      <c r="K104" s="269"/>
      <c r="L104" s="269"/>
      <c r="M104" s="269"/>
    </row>
    <row r="105" spans="1:40" ht="15.75" customHeight="1">
      <c r="A105" s="139" t="s">
        <v>627</v>
      </c>
      <c r="B105" s="245">
        <f>+'NEW...Tables 91-112'!L52</f>
        <v>46.426671084560432</v>
      </c>
      <c r="C105" s="245">
        <f>+'NEW...Tables 91-112'!L83</f>
        <v>72.492538814929077</v>
      </c>
      <c r="D105" s="245">
        <f>+'NEW...Tables 91-112'!L113</f>
        <v>62.663764685994416</v>
      </c>
      <c r="E105" s="245">
        <f>+'NEW...Tables 91-112'!L144</f>
        <v>78.10634063121978</v>
      </c>
      <c r="F105" s="245">
        <f>+'NEW...Tables 91-112'!L175</f>
        <v>82.010334645669275</v>
      </c>
      <c r="G105" s="245">
        <f>+'NEW...Tables 91-112'!L205</f>
        <v>67.510548523206751</v>
      </c>
      <c r="H105" s="247">
        <f>+'NEW...Tables 91-112'!L20</f>
        <v>54.982230119946692</v>
      </c>
      <c r="I105" s="269"/>
      <c r="J105" s="269"/>
      <c r="K105" s="269"/>
      <c r="L105" s="269"/>
      <c r="M105" s="269"/>
    </row>
    <row r="106" spans="1:40" ht="15.75" customHeight="1">
      <c r="A106" s="139" t="s">
        <v>628</v>
      </c>
      <c r="B106" s="245">
        <f>+'NEW...Tables 91-112'!L53</f>
        <v>0</v>
      </c>
      <c r="C106" s="245">
        <f>+'NEW...Tables 91-112'!L84</f>
        <v>0</v>
      </c>
      <c r="D106" s="245">
        <f>+'NEW...Tables 91-112'!L114</f>
        <v>0</v>
      </c>
      <c r="E106" s="245">
        <f>+'NEW...Tables 91-112'!L145</f>
        <v>0</v>
      </c>
      <c r="F106" s="245">
        <f>+'NEW...Tables 91-112'!L176</f>
        <v>0</v>
      </c>
      <c r="G106" s="245">
        <f>+'NEW...Tables 91-112'!L206</f>
        <v>0</v>
      </c>
      <c r="H106" s="247">
        <f>+'NEW...Tables 91-112'!L21</f>
        <v>0</v>
      </c>
      <c r="I106" s="269"/>
      <c r="J106" s="269"/>
      <c r="K106" s="269"/>
      <c r="L106" s="269"/>
      <c r="M106" s="269"/>
    </row>
    <row r="107" spans="1:40" ht="15.75" customHeight="1">
      <c r="A107" s="139" t="s">
        <v>629</v>
      </c>
      <c r="B107" s="245">
        <f>+'NEW...Tables 91-112'!L54</f>
        <v>44.549883721365688</v>
      </c>
      <c r="C107" s="245">
        <f>+'NEW...Tables 91-112'!L85</f>
        <v>0</v>
      </c>
      <c r="D107" s="245">
        <f>+'NEW...Tables 91-112'!L115</f>
        <v>65.114874294403137</v>
      </c>
      <c r="E107" s="245">
        <f>+'NEW...Tables 91-112'!L146</f>
        <v>62.296764009471197</v>
      </c>
      <c r="F107" s="245">
        <f>+'NEW...Tables 91-112'!L177</f>
        <v>50.762300762300761</v>
      </c>
      <c r="G107" s="245">
        <f>+'NEW...Tables 91-112'!L207</f>
        <v>80.14794793370794</v>
      </c>
      <c r="H107" s="247">
        <f>+'NEW...Tables 91-112'!L22</f>
        <v>49.618892462787365</v>
      </c>
      <c r="I107" s="269"/>
      <c r="J107" s="269"/>
      <c r="K107" s="269"/>
      <c r="L107" s="269"/>
      <c r="M107" s="269"/>
    </row>
    <row r="108" spans="1:40" ht="15.75" customHeight="1">
      <c r="A108" s="139"/>
      <c r="B108" s="245"/>
      <c r="C108" s="245"/>
      <c r="D108" s="245"/>
      <c r="E108" s="245"/>
      <c r="F108" s="245"/>
      <c r="G108" s="245"/>
      <c r="H108" s="247"/>
      <c r="I108" s="269"/>
      <c r="J108" s="269"/>
      <c r="K108" s="269"/>
      <c r="L108" s="269"/>
      <c r="M108" s="269"/>
    </row>
    <row r="109" spans="1:40" ht="15.75" customHeight="1">
      <c r="A109" s="139" t="s">
        <v>630</v>
      </c>
      <c r="B109" s="245">
        <f>+'NEW...Tables 91-112'!L56</f>
        <v>41.746379362815588</v>
      </c>
      <c r="C109" s="245">
        <f>+'NEW...Tables 91-112'!L87</f>
        <v>59.237890119443989</v>
      </c>
      <c r="D109" s="245">
        <f>+'NEW...Tables 91-112'!L117</f>
        <v>76.98241050227621</v>
      </c>
      <c r="E109" s="245">
        <f>+'NEW...Tables 91-112'!L148</f>
        <v>95.180929514663006</v>
      </c>
      <c r="F109" s="245">
        <f>+'NEW...Tables 91-112'!L179</f>
        <v>0</v>
      </c>
      <c r="G109" s="245">
        <f>+'NEW...Tables 91-112'!L209</f>
        <v>0</v>
      </c>
      <c r="H109" s="247">
        <f>+'NEW...Tables 91-112'!L24</f>
        <v>55.374933998112994</v>
      </c>
      <c r="I109" s="269"/>
      <c r="J109" s="269"/>
      <c r="K109" s="269"/>
      <c r="L109" s="269"/>
      <c r="M109" s="269"/>
    </row>
    <row r="110" spans="1:40" ht="15.75" customHeight="1">
      <c r="A110" s="139" t="s">
        <v>631</v>
      </c>
      <c r="B110" s="245">
        <f>+'NEW...Tables 91-112'!L57</f>
        <v>48.66324244011156</v>
      </c>
      <c r="C110" s="245">
        <f>+'NEW...Tables 91-112'!L88</f>
        <v>60.696826874506883</v>
      </c>
      <c r="D110" s="245">
        <f>+'NEW...Tables 91-112'!L118</f>
        <v>79.721443853958178</v>
      </c>
      <c r="E110" s="245">
        <f>+'NEW...Tables 91-112'!L149</f>
        <v>80.780218236313388</v>
      </c>
      <c r="F110" s="245">
        <f>+'NEW...Tables 91-112'!L180</f>
        <v>60.076216095045957</v>
      </c>
      <c r="G110" s="245">
        <f>+'NEW...Tables 91-112'!L210</f>
        <v>0</v>
      </c>
      <c r="H110" s="247">
        <f>+'NEW...Tables 91-112'!L25</f>
        <v>60.564012633666749</v>
      </c>
      <c r="I110" s="269"/>
      <c r="J110" s="269"/>
      <c r="K110" s="269"/>
      <c r="L110" s="269"/>
      <c r="M110" s="269"/>
    </row>
    <row r="111" spans="1:40" s="186" customFormat="1" ht="15.75" customHeight="1">
      <c r="A111" s="139" t="s">
        <v>632</v>
      </c>
      <c r="B111" s="245">
        <f>+'NEW...Tables 91-112'!L58</f>
        <v>38.828771659906657</v>
      </c>
      <c r="C111" s="245">
        <f>+'NEW...Tables 91-112'!L89</f>
        <v>48.736993731239991</v>
      </c>
      <c r="D111" s="245">
        <f>+'NEW...Tables 91-112'!L119</f>
        <v>50.08323915764403</v>
      </c>
      <c r="E111" s="245">
        <f>+'NEW...Tables 91-112'!L150</f>
        <v>27.935796058066803</v>
      </c>
      <c r="F111" s="245">
        <f>+'NEW...Tables 91-112'!L181</f>
        <v>73.179078739177584</v>
      </c>
      <c r="G111" s="245">
        <f>+'NEW...Tables 91-112'!L211</f>
        <v>0</v>
      </c>
      <c r="H111" s="247">
        <f>+'NEW...Tables 91-112'!L26</f>
        <v>41.310295242305401</v>
      </c>
      <c r="I111" s="269"/>
      <c r="J111" s="269"/>
      <c r="K111" s="269"/>
      <c r="L111" s="269"/>
      <c r="M111" s="26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row>
    <row r="112" spans="1:40" s="186" customFormat="1" ht="13.5" customHeight="1">
      <c r="A112" s="139" t="s">
        <v>633</v>
      </c>
      <c r="B112" s="245">
        <f>+'NEW...Tables 91-112'!L59</f>
        <v>40.930075060669338</v>
      </c>
      <c r="C112" s="245">
        <f>+'NEW...Tables 91-112'!L90</f>
        <v>0</v>
      </c>
      <c r="D112" s="245">
        <f>+'NEW...Tables 91-112'!L120</f>
        <v>61.244337646734095</v>
      </c>
      <c r="E112" s="245">
        <f>+'NEW...Tables 91-112'!L151</f>
        <v>0</v>
      </c>
      <c r="F112" s="245">
        <f>+'NEW...Tables 91-112'!L182</f>
        <v>68.068899258852582</v>
      </c>
      <c r="G112" s="245">
        <f>+'NEW...Tables 91-112'!L212</f>
        <v>27.921801954951125</v>
      </c>
      <c r="H112" s="247">
        <f>+'NEW...Tables 91-112'!L27</f>
        <v>52.001563162211099</v>
      </c>
      <c r="I112" s="269"/>
      <c r="J112" s="269"/>
      <c r="K112" s="269"/>
      <c r="L112" s="269"/>
      <c r="M112" s="26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row>
    <row r="113" spans="1:40" s="186" customFormat="1" ht="49.5" customHeight="1">
      <c r="A113" s="488" t="s">
        <v>762</v>
      </c>
      <c r="B113" s="488"/>
      <c r="C113" s="488"/>
      <c r="D113" s="488"/>
      <c r="E113" s="488"/>
      <c r="F113" s="488"/>
      <c r="G113" s="488"/>
      <c r="H113" s="488"/>
      <c r="I113" s="190"/>
      <c r="J113" s="190"/>
      <c r="K113" s="190"/>
      <c r="L113" s="190"/>
      <c r="M113" s="190"/>
    </row>
    <row r="114" spans="1:40" ht="27" customHeight="1">
      <c r="A114" s="492" t="s">
        <v>693</v>
      </c>
      <c r="B114" s="493"/>
      <c r="C114" s="493"/>
      <c r="D114" s="493"/>
      <c r="E114" s="493"/>
      <c r="F114" s="493"/>
      <c r="G114" s="493"/>
      <c r="H114" s="493"/>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row>
    <row r="115" spans="1:40" ht="9.75" customHeight="1">
      <c r="A115" s="185"/>
      <c r="B115" s="227"/>
      <c r="C115" s="227"/>
      <c r="D115" s="227"/>
      <c r="E115" s="227"/>
      <c r="F115" s="227"/>
      <c r="G115" s="227"/>
      <c r="H115" s="227"/>
      <c r="I115" s="227"/>
      <c r="J115" s="227"/>
      <c r="K115" s="227"/>
      <c r="L115" s="227"/>
      <c r="M115" s="227"/>
      <c r="N115" s="227"/>
      <c r="O115" s="227"/>
      <c r="P115" s="227"/>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row>
    <row r="116" spans="1:40">
      <c r="A116" s="186"/>
      <c r="B116" s="186"/>
      <c r="C116" s="186"/>
      <c r="D116" s="186"/>
      <c r="E116" s="186"/>
      <c r="F116" s="186"/>
      <c r="G116" s="186"/>
      <c r="H116" s="192" t="s">
        <v>923</v>
      </c>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row>
  </sheetData>
  <mergeCells count="11">
    <mergeCell ref="A54:P54"/>
    <mergeCell ref="A55:P55"/>
    <mergeCell ref="A85:H85"/>
    <mergeCell ref="A113:H113"/>
    <mergeCell ref="A114:H114"/>
    <mergeCell ref="A31:P31"/>
    <mergeCell ref="A1:P1"/>
    <mergeCell ref="B5:H5"/>
    <mergeCell ref="I5:M5"/>
    <mergeCell ref="A26:P26"/>
    <mergeCell ref="A29:P29"/>
  </mergeCells>
  <pageMargins left="0.7" right="0.7" top="0.75" bottom="0.75" header="0.3" footer="0.3"/>
  <pageSetup firstPageNumber="96"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E5D8-F005-4FD0-BADD-5CE62099FFE2}">
  <sheetPr>
    <tabColor theme="5" tint="0.59999389629810485"/>
  </sheetPr>
  <dimension ref="A1:P113"/>
  <sheetViews>
    <sheetView showZeros="0" view="pageBreakPreview" topLeftCell="A22" zoomScaleNormal="100" zoomScaleSheetLayoutView="100" workbookViewId="0">
      <selection activeCell="P27" sqref="P27"/>
    </sheetView>
  </sheetViews>
  <sheetFormatPr defaultColWidth="8.84375" defaultRowHeight="14.5"/>
  <cols>
    <col min="1" max="1" width="9.84375" style="67" customWidth="1"/>
    <col min="2" max="8" width="5.69140625" style="67" customWidth="1"/>
    <col min="9" max="9" width="5.69140625" style="59" customWidth="1"/>
    <col min="10" max="16" width="5.69140625" style="67" customWidth="1"/>
    <col min="17" max="16384" width="8.84375" style="67"/>
  </cols>
  <sheetData>
    <row r="1" spans="1:16" ht="18">
      <c r="A1" s="228" t="s">
        <v>682</v>
      </c>
      <c r="B1" s="135"/>
      <c r="C1" s="135"/>
      <c r="D1" s="135"/>
      <c r="E1" s="135"/>
      <c r="F1" s="135"/>
      <c r="G1" s="229"/>
      <c r="H1" s="229"/>
      <c r="I1" s="230"/>
      <c r="J1" s="229"/>
      <c r="K1" s="229"/>
      <c r="L1" s="229"/>
      <c r="M1" s="229"/>
      <c r="N1" s="229"/>
      <c r="O1" s="229"/>
      <c r="P1" s="229"/>
    </row>
    <row r="2" spans="1:16" s="139" customFormat="1" ht="13">
      <c r="A2" s="140"/>
      <c r="B2" s="136"/>
      <c r="C2" s="136"/>
      <c r="D2" s="136"/>
      <c r="E2" s="136"/>
      <c r="F2" s="136"/>
      <c r="G2" s="136"/>
      <c r="H2" s="136"/>
      <c r="I2" s="136"/>
      <c r="J2" s="136"/>
      <c r="K2" s="136"/>
      <c r="L2" s="136"/>
      <c r="M2" s="136"/>
      <c r="N2" s="136"/>
      <c r="O2" s="136"/>
      <c r="P2" s="136"/>
    </row>
    <row r="3" spans="1:16" ht="15.5">
      <c r="A3" s="231" t="s">
        <v>744</v>
      </c>
      <c r="B3" s="136"/>
      <c r="C3" s="136"/>
      <c r="D3" s="136"/>
      <c r="E3" s="136"/>
      <c r="F3" s="136"/>
      <c r="G3" s="229"/>
      <c r="H3" s="229"/>
      <c r="I3" s="230"/>
      <c r="J3" s="229"/>
      <c r="K3" s="229"/>
      <c r="L3" s="229"/>
      <c r="M3" s="229"/>
      <c r="N3" s="229"/>
      <c r="O3" s="229"/>
      <c r="P3" s="229"/>
    </row>
    <row r="4" spans="1:16">
      <c r="A4" s="232"/>
      <c r="B4" s="233"/>
      <c r="C4" s="233"/>
      <c r="D4" s="233"/>
      <c r="E4" s="233"/>
      <c r="F4" s="233"/>
      <c r="G4" s="233"/>
      <c r="H4" s="233"/>
      <c r="I4" s="234"/>
      <c r="J4" s="233"/>
      <c r="K4" s="233"/>
      <c r="L4" s="233"/>
    </row>
    <row r="5" spans="1:16" s="240" customFormat="1" ht="18" customHeight="1">
      <c r="A5" s="235"/>
      <c r="B5" s="496" t="s">
        <v>517</v>
      </c>
      <c r="C5" s="496"/>
      <c r="D5" s="496"/>
      <c r="E5" s="496"/>
      <c r="F5" s="496"/>
      <c r="G5" s="496"/>
      <c r="H5" s="497"/>
      <c r="I5" s="498" t="s">
        <v>520</v>
      </c>
      <c r="J5" s="496"/>
      <c r="K5" s="496"/>
      <c r="L5" s="496"/>
      <c r="M5" s="496"/>
      <c r="N5" s="238" t="s">
        <v>536</v>
      </c>
      <c r="O5" s="239"/>
      <c r="P5" s="239"/>
    </row>
    <row r="6" spans="1:16" s="244" customFormat="1" ht="26">
      <c r="A6" s="241"/>
      <c r="B6" s="236">
        <v>1</v>
      </c>
      <c r="C6" s="236">
        <v>2</v>
      </c>
      <c r="D6" s="236">
        <v>3</v>
      </c>
      <c r="E6" s="236">
        <v>4</v>
      </c>
      <c r="F6" s="236">
        <v>5</v>
      </c>
      <c r="G6" s="236">
        <v>6</v>
      </c>
      <c r="H6" s="242" t="s">
        <v>683</v>
      </c>
      <c r="I6" s="243" t="s">
        <v>684</v>
      </c>
      <c r="J6" s="236">
        <v>1</v>
      </c>
      <c r="K6" s="236">
        <v>2</v>
      </c>
      <c r="L6" s="236">
        <v>3</v>
      </c>
      <c r="M6" s="237" t="s">
        <v>685</v>
      </c>
      <c r="N6" s="237">
        <v>1</v>
      </c>
      <c r="O6" s="236">
        <v>2</v>
      </c>
      <c r="P6" s="237" t="s">
        <v>685</v>
      </c>
    </row>
    <row r="7" spans="1:16" ht="15.75" customHeight="1">
      <c r="A7" s="139" t="s">
        <v>618</v>
      </c>
      <c r="B7" s="245">
        <f>+'OLD...Tabs'!B41+'OLD...Tabs'!C41</f>
        <v>85.147161734249977</v>
      </c>
      <c r="C7" s="245">
        <f>+'OLD...Tabs'!B72+'OLD...Tabs'!C72</f>
        <v>85.390275387263344</v>
      </c>
      <c r="D7" s="245">
        <f>+'OLD...Tabs'!B102+'OLD...Tabs'!C102</f>
        <v>72.69652334972325</v>
      </c>
      <c r="E7" s="245">
        <f>+'OLD...Tabs'!B133+'OLD...Tabs'!C133</f>
        <v>76.965186019779892</v>
      </c>
      <c r="F7" s="245">
        <f>+'OLD...Tabs'!B164+'OLD...Tabs'!C164</f>
        <v>90.002421893921053</v>
      </c>
      <c r="G7" s="245">
        <f>+'OLD...Tabs'!B194+'OLD...Tabs'!C194</f>
        <v>17.967640772003183</v>
      </c>
      <c r="H7" s="246">
        <f>+'OLD...Tabs'!B9+'OLD...Tabs'!C9</f>
        <v>80.591527576911304</v>
      </c>
      <c r="I7" s="247">
        <f>+'OLD...Tabs'!B256+'OLD...Tabs'!C256</f>
        <v>0</v>
      </c>
      <c r="J7" s="245">
        <f>+'OLD...Tabs'!B287+'OLD...Tabs'!C287</f>
        <v>64.275863109893578</v>
      </c>
      <c r="K7" s="245">
        <f>+'OLD...Tabs'!B318+'OLD...Tabs'!C318</f>
        <v>74.394127987989293</v>
      </c>
      <c r="L7" s="245">
        <f>+'OLD...Tabs'!B349+'OLD...Tabs'!C349</f>
        <v>62.935058947085309</v>
      </c>
      <c r="M7" s="247">
        <f>+'OLD...Tabs'!B225+'OLD...Tabs'!C225</f>
        <v>69.059761959162827</v>
      </c>
      <c r="N7" s="248">
        <f>+'OLD...Tabs'!B410+'OLD...Tabs'!C410</f>
        <v>85.235807564787876</v>
      </c>
      <c r="O7" s="174">
        <f>+'OLD...Tabs'!B440+'OLD...Tabs'!C440</f>
        <v>88.037238169123356</v>
      </c>
      <c r="P7" s="249">
        <f>+'OLD...Tabs'!B380+'OLD...Tabs'!C380</f>
        <v>86.648705450968123</v>
      </c>
    </row>
    <row r="8" spans="1:16" ht="15.75" customHeight="1">
      <c r="A8" s="139" t="s">
        <v>619</v>
      </c>
      <c r="B8" s="245">
        <f>+'OLD...Tabs'!B42+'OLD...Tabs'!C42</f>
        <v>89.873857693099453</v>
      </c>
      <c r="C8" s="245">
        <f>+'OLD...Tabs'!B73+'OLD...Tabs'!C73</f>
        <v>57.854453831332442</v>
      </c>
      <c r="D8" s="245">
        <f>+'OLD...Tabs'!B103+'OLD...Tabs'!C103</f>
        <v>76.630471437242861</v>
      </c>
      <c r="E8" s="245">
        <f>+'OLD...Tabs'!B134+'OLD...Tabs'!C134</f>
        <v>79.354722117551162</v>
      </c>
      <c r="F8" s="245">
        <f>+'OLD...Tabs'!B165+'OLD...Tabs'!C165</f>
        <v>0</v>
      </c>
      <c r="G8" s="245">
        <f>+'OLD...Tabs'!B195+'OLD...Tabs'!C195</f>
        <v>75.001761090467213</v>
      </c>
      <c r="H8" s="250">
        <f>+'OLD...Tabs'!B10+'OLD...Tabs'!C10</f>
        <v>79.476766419899647</v>
      </c>
      <c r="I8" s="247">
        <f>+'OLD...Tabs'!B257+'OLD...Tabs'!C257</f>
        <v>0</v>
      </c>
      <c r="J8" s="245">
        <f>+'OLD...Tabs'!B288+'OLD...Tabs'!C288</f>
        <v>69.239927229921349</v>
      </c>
      <c r="K8" s="245">
        <f>+'OLD...Tabs'!B319+'OLD...Tabs'!C319</f>
        <v>68.458773705319715</v>
      </c>
      <c r="L8" s="245">
        <f>+'OLD...Tabs'!B350+'OLD...Tabs'!C350</f>
        <v>69.391280828980513</v>
      </c>
      <c r="M8" s="247">
        <f>+'OLD...Tabs'!B226+'OLD...Tabs'!C226</f>
        <v>69.178814838273937</v>
      </c>
      <c r="N8" s="248">
        <f>+'OLD...Tabs'!B411+'OLD...Tabs'!C411</f>
        <v>0</v>
      </c>
      <c r="O8" s="174">
        <f>+'OLD...Tabs'!B441+'OLD...Tabs'!C441</f>
        <v>0</v>
      </c>
      <c r="P8" s="247">
        <f>+'OLD...Tabs'!B381+'OLD...Tabs'!C381</f>
        <v>0</v>
      </c>
    </row>
    <row r="9" spans="1:16" ht="15.75" customHeight="1">
      <c r="A9" s="139" t="s">
        <v>620</v>
      </c>
      <c r="B9" s="245">
        <f>+'OLD...Tabs'!B43+'OLD...Tabs'!C43</f>
        <v>95.831240582621803</v>
      </c>
      <c r="C9" s="245">
        <f>+'OLD...Tabs'!B74+'OLD...Tabs'!C74</f>
        <v>0</v>
      </c>
      <c r="D9" s="245">
        <f>+'OLD...Tabs'!B104+'OLD...Tabs'!C104</f>
        <v>88.16885357229279</v>
      </c>
      <c r="E9" s="245">
        <f>+'OLD...Tabs'!B135+'OLD...Tabs'!C135</f>
        <v>0</v>
      </c>
      <c r="F9" s="245">
        <f>+'OLD...Tabs'!B166+'OLD...Tabs'!C166</f>
        <v>0</v>
      </c>
      <c r="G9" s="245">
        <f>+'OLD...Tabs'!B196+'OLD...Tabs'!C196</f>
        <v>0</v>
      </c>
      <c r="H9" s="250">
        <f>+'OLD...Tabs'!B11+'OLD...Tabs'!C11</f>
        <v>94.481730872337437</v>
      </c>
      <c r="I9" s="247">
        <f>+'OLD...Tabs'!B258+'OLD...Tabs'!C258</f>
        <v>0</v>
      </c>
      <c r="J9" s="245">
        <f>+'OLD...Tabs'!B289+'OLD...Tabs'!C289</f>
        <v>0</v>
      </c>
      <c r="K9" s="245">
        <f>+'OLD...Tabs'!B320+'OLD...Tabs'!C320</f>
        <v>78.871152136173095</v>
      </c>
      <c r="L9" s="245">
        <f>+'OLD...Tabs'!B351+'OLD...Tabs'!C351</f>
        <v>0</v>
      </c>
      <c r="M9" s="247">
        <f>+'OLD...Tabs'!B227+'OLD...Tabs'!C227</f>
        <v>78.871152136173095</v>
      </c>
      <c r="N9" s="248">
        <f>+'OLD...Tabs'!B412+'OLD...Tabs'!C412</f>
        <v>0</v>
      </c>
      <c r="O9" s="174">
        <f>+'OLD...Tabs'!B442+'OLD...Tabs'!C442</f>
        <v>0</v>
      </c>
      <c r="P9" s="247">
        <f>+'OLD...Tabs'!B382+'OLD...Tabs'!C382</f>
        <v>0</v>
      </c>
    </row>
    <row r="10" spans="1:16" ht="15.75" customHeight="1">
      <c r="A10" s="139" t="s">
        <v>621</v>
      </c>
      <c r="B10" s="245">
        <f>+'OLD...Tabs'!B44+'OLD...Tabs'!C44</f>
        <v>0</v>
      </c>
      <c r="C10" s="245">
        <f>+'OLD...Tabs'!B75+'OLD...Tabs'!C75</f>
        <v>0</v>
      </c>
      <c r="D10" s="245">
        <f>+'OLD...Tabs'!B105+'OLD...Tabs'!C105</f>
        <v>0</v>
      </c>
      <c r="E10" s="245">
        <f>+'OLD...Tabs'!B136+'OLD...Tabs'!C136</f>
        <v>0</v>
      </c>
      <c r="F10" s="245">
        <f>+'OLD...Tabs'!B167+'OLD...Tabs'!C167</f>
        <v>0</v>
      </c>
      <c r="G10" s="245">
        <f>+'OLD...Tabs'!B197+'OLD...Tabs'!C197</f>
        <v>0</v>
      </c>
      <c r="H10" s="250">
        <f>+'OLD...Tabs'!B12+'OLD...Tabs'!C12</f>
        <v>0</v>
      </c>
      <c r="I10" s="247">
        <f>+'OLD...Tabs'!B259+'OLD...Tabs'!C259</f>
        <v>70.441773505317656</v>
      </c>
      <c r="J10" s="245">
        <f>+'OLD...Tabs'!B290+'OLD...Tabs'!C290</f>
        <v>65.585587925861475</v>
      </c>
      <c r="K10" s="245">
        <f>+'OLD...Tabs'!B321+'OLD...Tabs'!C321</f>
        <v>0</v>
      </c>
      <c r="L10" s="245">
        <f>+'OLD...Tabs'!B352+'OLD...Tabs'!C352</f>
        <v>63.869046177688453</v>
      </c>
      <c r="M10" s="247">
        <f>+'OLD...Tabs'!B228+'OLD...Tabs'!C228</f>
        <v>69.958605868576939</v>
      </c>
      <c r="N10" s="248">
        <f>+'OLD...Tabs'!B413+'OLD...Tabs'!C413</f>
        <v>0</v>
      </c>
      <c r="O10" s="174">
        <f>+'OLD...Tabs'!B443+'OLD...Tabs'!C443</f>
        <v>0</v>
      </c>
      <c r="P10" s="247">
        <f>+'OLD...Tabs'!B383+'OLD...Tabs'!C383</f>
        <v>0</v>
      </c>
    </row>
    <row r="11" spans="1:16" ht="15.75" customHeight="1">
      <c r="A11" s="139"/>
      <c r="B11" s="245"/>
      <c r="C11" s="245"/>
      <c r="D11" s="245"/>
      <c r="E11" s="245"/>
      <c r="F11" s="245"/>
      <c r="G11" s="245"/>
      <c r="H11" s="250"/>
      <c r="I11" s="247"/>
      <c r="J11" s="245"/>
      <c r="K11" s="245"/>
      <c r="L11" s="245"/>
      <c r="M11" s="247"/>
      <c r="N11" s="248"/>
      <c r="O11" s="174"/>
      <c r="P11" s="247"/>
    </row>
    <row r="12" spans="1:16" ht="15.75" customHeight="1">
      <c r="A12" s="139" t="s">
        <v>622</v>
      </c>
      <c r="B12" s="245">
        <f>+'OLD...Tabs'!B46+'OLD...Tabs'!C46</f>
        <v>85.73699767048511</v>
      </c>
      <c r="C12" s="245">
        <f>+'OLD...Tabs'!B77+'OLD...Tabs'!C77</f>
        <v>97.57173174791707</v>
      </c>
      <c r="D12" s="245">
        <f>+'OLD...Tabs'!B107+'OLD...Tabs'!C107</f>
        <v>71.451032710694335</v>
      </c>
      <c r="E12" s="245">
        <f>+'OLD...Tabs'!B138+'OLD...Tabs'!C138</f>
        <v>78.922716452322859</v>
      </c>
      <c r="F12" s="245">
        <f>+'OLD...Tabs'!B169+'OLD...Tabs'!C169</f>
        <v>68.745140811589337</v>
      </c>
      <c r="G12" s="245">
        <f>+'OLD...Tabs'!B199+'OLD...Tabs'!C199</f>
        <v>88.548202074634446</v>
      </c>
      <c r="H12" s="250">
        <f>+'OLD...Tabs'!B14+'OLD...Tabs'!C14</f>
        <v>80.347846139827695</v>
      </c>
      <c r="I12" s="247">
        <f>+'OLD...Tabs'!B261+'OLD...Tabs'!C261</f>
        <v>70.797278552084023</v>
      </c>
      <c r="J12" s="245">
        <f>+'OLD...Tabs'!B292+'OLD...Tabs'!C292</f>
        <v>0</v>
      </c>
      <c r="K12" s="245">
        <f>+'OLD...Tabs'!B323+'OLD...Tabs'!C323</f>
        <v>0</v>
      </c>
      <c r="L12" s="245">
        <f>+'OLD...Tabs'!B354+'OLD...Tabs'!C354</f>
        <v>0</v>
      </c>
      <c r="M12" s="247">
        <f>+'OLD...Tabs'!B230+'OLD...Tabs'!C230</f>
        <v>70.797278552084023</v>
      </c>
      <c r="N12" s="248">
        <f>+'OLD...Tabs'!B415+'OLD...Tabs'!C415</f>
        <v>61.294044341152464</v>
      </c>
      <c r="O12" s="174">
        <f>+'OLD...Tabs'!B445+'OLD...Tabs'!C445</f>
        <v>0</v>
      </c>
      <c r="P12" s="247">
        <f>+'OLD...Tabs'!B385+'OLD...Tabs'!C385</f>
        <v>61.294044341152464</v>
      </c>
    </row>
    <row r="13" spans="1:16" ht="15.75" customHeight="1">
      <c r="A13" s="139" t="s">
        <v>623</v>
      </c>
      <c r="B13" s="245">
        <f>+'OLD...Tabs'!B47+'OLD...Tabs'!C47</f>
        <v>88.1534904058949</v>
      </c>
      <c r="C13" s="245">
        <f>+'OLD...Tabs'!B78+'OLD...Tabs'!C78</f>
        <v>0</v>
      </c>
      <c r="D13" s="245">
        <f>+'OLD...Tabs'!B108+'OLD...Tabs'!C108</f>
        <v>77.239381999093723</v>
      </c>
      <c r="E13" s="245">
        <f>+'OLD...Tabs'!B139+'OLD...Tabs'!C139</f>
        <v>64.75233868366314</v>
      </c>
      <c r="F13" s="245">
        <f>+'OLD...Tabs'!B170+'OLD...Tabs'!C170</f>
        <v>0</v>
      </c>
      <c r="G13" s="245">
        <f>+'OLD...Tabs'!B200+'OLD...Tabs'!C200</f>
        <v>0</v>
      </c>
      <c r="H13" s="250">
        <f>+'OLD...Tabs'!B15+'OLD...Tabs'!C15</f>
        <v>81.454841307913028</v>
      </c>
      <c r="I13" s="247">
        <f>+'OLD...Tabs'!B262+'OLD...Tabs'!C262</f>
        <v>0</v>
      </c>
      <c r="J13" s="245">
        <f>+'OLD...Tabs'!B293+'OLD...Tabs'!C293</f>
        <v>64.562229269360856</v>
      </c>
      <c r="K13" s="245">
        <f>+'OLD...Tabs'!B324+'OLD...Tabs'!C324</f>
        <v>54.40824214142237</v>
      </c>
      <c r="L13" s="245">
        <f>+'OLD...Tabs'!B355+'OLD...Tabs'!C355</f>
        <v>50.110798849800808</v>
      </c>
      <c r="M13" s="247">
        <f>+'OLD...Tabs'!B231+'OLD...Tabs'!C231</f>
        <v>56.340805397469701</v>
      </c>
      <c r="N13" s="248">
        <f>+'OLD...Tabs'!B416+'OLD...Tabs'!C416</f>
        <v>66.408514554304162</v>
      </c>
      <c r="O13" s="174">
        <f>+'OLD...Tabs'!B446+'OLD...Tabs'!C446</f>
        <v>0</v>
      </c>
      <c r="P13" s="247">
        <f>+'OLD...Tabs'!B386+'OLD...Tabs'!C386</f>
        <v>66.408514554304162</v>
      </c>
    </row>
    <row r="14" spans="1:16" ht="15.75" customHeight="1">
      <c r="A14" s="139" t="s">
        <v>624</v>
      </c>
      <c r="B14" s="245">
        <f>+'OLD...Tabs'!B48+'OLD...Tabs'!C48</f>
        <v>95.404364569961473</v>
      </c>
      <c r="C14" s="245">
        <f>+'OLD...Tabs'!B79+'OLD...Tabs'!C79</f>
        <v>85.959798666307606</v>
      </c>
      <c r="D14" s="245">
        <f>+'OLD...Tabs'!B109+'OLD...Tabs'!C109</f>
        <v>80.049235654900983</v>
      </c>
      <c r="E14" s="245">
        <f>+'OLD...Tabs'!B140+'OLD...Tabs'!C140</f>
        <v>71.406043246528881</v>
      </c>
      <c r="F14" s="245">
        <f>+'OLD...Tabs'!B171+'OLD...Tabs'!C171</f>
        <v>69.724025974025977</v>
      </c>
      <c r="G14" s="245">
        <f>+'OLD...Tabs'!B201+'OLD...Tabs'!C201</f>
        <v>58.268275372604727</v>
      </c>
      <c r="H14" s="250">
        <f>+'OLD...Tabs'!B16+'OLD...Tabs'!C16</f>
        <v>82.814677764193576</v>
      </c>
      <c r="I14" s="247">
        <f>+'OLD...Tabs'!B263+'OLD...Tabs'!C263</f>
        <v>0</v>
      </c>
      <c r="J14" s="245">
        <f>+'OLD...Tabs'!B294+'OLD...Tabs'!C294</f>
        <v>78.93508204169791</v>
      </c>
      <c r="K14" s="245">
        <f>+'OLD...Tabs'!B325+'OLD...Tabs'!C325</f>
        <v>70.65806196861584</v>
      </c>
      <c r="L14" s="245">
        <f>+'OLD...Tabs'!B356+'OLD...Tabs'!C356</f>
        <v>74.118961084439832</v>
      </c>
      <c r="M14" s="247">
        <f>+'OLD...Tabs'!B232+'OLD...Tabs'!C232</f>
        <v>74.503353362399722</v>
      </c>
      <c r="N14" s="248">
        <f>+'OLD...Tabs'!B417+'OLD...Tabs'!C417</f>
        <v>77.95643303307719</v>
      </c>
      <c r="O14" s="174">
        <f>+'OLD...Tabs'!B447+'OLD...Tabs'!C447</f>
        <v>99.392712550607285</v>
      </c>
      <c r="P14" s="247">
        <f>+'OLD...Tabs'!B387+'OLD...Tabs'!C387</f>
        <v>79.975754359433083</v>
      </c>
    </row>
    <row r="15" spans="1:16" ht="15.75" customHeight="1">
      <c r="A15" s="139" t="s">
        <v>625</v>
      </c>
      <c r="B15" s="245">
        <f>+'OLD...Tabs'!B49+'OLD...Tabs'!C49</f>
        <v>94.457963967476687</v>
      </c>
      <c r="C15" s="245">
        <f>+'OLD...Tabs'!B80+'OLD...Tabs'!C80</f>
        <v>86.719112589326983</v>
      </c>
      <c r="D15" s="245">
        <f>+'OLD...Tabs'!B110+'OLD...Tabs'!C110</f>
        <v>86.345482840801154</v>
      </c>
      <c r="E15" s="245">
        <f>+'OLD...Tabs'!B141+'OLD...Tabs'!C141</f>
        <v>81.706404419526351</v>
      </c>
      <c r="F15" s="245">
        <f>+'OLD...Tabs'!B172+'OLD...Tabs'!C172</f>
        <v>79.782962200909296</v>
      </c>
      <c r="G15" s="245">
        <f>+'OLD...Tabs'!B202+'OLD...Tabs'!C202</f>
        <v>99.504929367077793</v>
      </c>
      <c r="H15" s="250">
        <f>+'OLD...Tabs'!B17+'OLD...Tabs'!C17</f>
        <v>68.583550183343704</v>
      </c>
      <c r="I15" s="247">
        <f>+'OLD...Tabs'!B264+'OLD...Tabs'!C264</f>
        <v>0</v>
      </c>
      <c r="J15" s="245">
        <f>+'OLD...Tabs'!B295+'OLD...Tabs'!C295</f>
        <v>82.060545809214261</v>
      </c>
      <c r="K15" s="245">
        <f>+'OLD...Tabs'!B326+'OLD...Tabs'!C326</f>
        <v>69.22044669440109</v>
      </c>
      <c r="L15" s="245">
        <f>+'OLD...Tabs'!B357+'OLD...Tabs'!C357</f>
        <v>72.962560795686471</v>
      </c>
      <c r="M15" s="247">
        <f>+'OLD...Tabs'!B233+'OLD...Tabs'!C233</f>
        <v>78.583732814376873</v>
      </c>
      <c r="N15" s="248">
        <f>+'OLD...Tabs'!B418+'OLD...Tabs'!C418</f>
        <v>0</v>
      </c>
      <c r="O15" s="174">
        <f>+'OLD...Tabs'!B448+'OLD...Tabs'!C448</f>
        <v>0</v>
      </c>
      <c r="P15" s="247">
        <f>+'OLD...Tabs'!B388+'OLD...Tabs'!C388</f>
        <v>0</v>
      </c>
    </row>
    <row r="16" spans="1:16" ht="15.75" customHeight="1">
      <c r="A16" s="139"/>
      <c r="B16" s="245"/>
      <c r="C16" s="245"/>
      <c r="D16" s="245"/>
      <c r="E16" s="245"/>
      <c r="F16" s="245"/>
      <c r="G16" s="245"/>
      <c r="H16" s="250"/>
      <c r="I16" s="247"/>
      <c r="J16" s="245"/>
      <c r="K16" s="245"/>
      <c r="L16" s="245"/>
      <c r="M16" s="247"/>
      <c r="N16" s="248"/>
      <c r="O16" s="174"/>
      <c r="P16" s="247"/>
    </row>
    <row r="17" spans="1:16" ht="15.75" customHeight="1">
      <c r="A17" s="139" t="s">
        <v>626</v>
      </c>
      <c r="B17" s="245">
        <f>+'OLD...Tabs'!B51+'OLD...Tabs'!C51</f>
        <v>82.676455912752147</v>
      </c>
      <c r="C17" s="245">
        <f>+'OLD...Tabs'!B82+'OLD...Tabs'!C82</f>
        <v>67.545142599988736</v>
      </c>
      <c r="D17" s="245">
        <f>+'OLD...Tabs'!B112+'OLD...Tabs'!C112</f>
        <v>0</v>
      </c>
      <c r="E17" s="245">
        <f>+'OLD...Tabs'!B143+'OLD...Tabs'!C143</f>
        <v>63.881615276680243</v>
      </c>
      <c r="F17" s="245">
        <f>+'OLD...Tabs'!B174+'OLD...Tabs'!C174</f>
        <v>0</v>
      </c>
      <c r="G17" s="245">
        <f>+'OLD...Tabs'!B204+'OLD...Tabs'!C204</f>
        <v>0</v>
      </c>
      <c r="H17" s="250">
        <f>+'OLD...Tabs'!B19+'OLD...Tabs'!C19</f>
        <v>78.574883343951882</v>
      </c>
      <c r="I17" s="247">
        <f>+'OLD...Tabs'!B266+'OLD...Tabs'!C266</f>
        <v>0</v>
      </c>
      <c r="J17" s="245">
        <f>+'OLD...Tabs'!B297+'OLD...Tabs'!C297</f>
        <v>0</v>
      </c>
      <c r="K17" s="245">
        <f>+'OLD...Tabs'!B328+'OLD...Tabs'!C328</f>
        <v>0</v>
      </c>
      <c r="L17" s="245">
        <f>+'OLD...Tabs'!B359+'OLD...Tabs'!C359</f>
        <v>0</v>
      </c>
      <c r="M17" s="247">
        <f>+'OLD...Tabs'!B235+'OLD...Tabs'!C235</f>
        <v>0</v>
      </c>
      <c r="N17" s="248">
        <f>+'OLD...Tabs'!B420+'OLD...Tabs'!C420</f>
        <v>0</v>
      </c>
      <c r="O17" s="174">
        <f>+'OLD...Tabs'!B450+'OLD...Tabs'!C450</f>
        <v>0</v>
      </c>
      <c r="P17" s="247">
        <f>+'OLD...Tabs'!B390+'OLD...Tabs'!C390</f>
        <v>0</v>
      </c>
    </row>
    <row r="18" spans="1:16" ht="15.75" customHeight="1">
      <c r="A18" s="139" t="s">
        <v>627</v>
      </c>
      <c r="B18" s="245">
        <f>+'OLD...Tabs'!B52+'OLD...Tabs'!C52</f>
        <v>85.017804587467438</v>
      </c>
      <c r="C18" s="245">
        <f>+'OLD...Tabs'!B83+'OLD...Tabs'!C83</f>
        <v>76.773355457066131</v>
      </c>
      <c r="D18" s="245">
        <f>+'OLD...Tabs'!B113+'OLD...Tabs'!C113</f>
        <v>82.022747641079818</v>
      </c>
      <c r="E18" s="245">
        <f>+'OLD...Tabs'!B144+'OLD...Tabs'!C144</f>
        <v>55.041801285680975</v>
      </c>
      <c r="F18" s="245">
        <f>+'OLD...Tabs'!B175+'OLD...Tabs'!C175</f>
        <v>70.764404820868421</v>
      </c>
      <c r="G18" s="245">
        <f>+'OLD...Tabs'!B205+'OLD...Tabs'!C205</f>
        <v>91.17900024082293</v>
      </c>
      <c r="H18" s="250">
        <f>+'OLD...Tabs'!B20+'OLD...Tabs'!C20</f>
        <v>81.683875270020948</v>
      </c>
      <c r="I18" s="247">
        <f>+'OLD...Tabs'!B267+'OLD...Tabs'!C267</f>
        <v>0</v>
      </c>
      <c r="J18" s="245">
        <f>+'OLD...Tabs'!B298+'OLD...Tabs'!C298</f>
        <v>56.129376413756312</v>
      </c>
      <c r="K18" s="245">
        <f>+'OLD...Tabs'!B329+'OLD...Tabs'!C329</f>
        <v>53.666536195850782</v>
      </c>
      <c r="L18" s="245">
        <f>+'OLD...Tabs'!B360+'OLD...Tabs'!C360</f>
        <v>49.560057463434234</v>
      </c>
      <c r="M18" s="247">
        <f>+'OLD...Tabs'!B236+'OLD...Tabs'!C236</f>
        <v>54.094441725023664</v>
      </c>
      <c r="N18" s="248">
        <f>+'OLD...Tabs'!B421+'OLD...Tabs'!C421</f>
        <v>0</v>
      </c>
      <c r="O18" s="174">
        <f>+'OLD...Tabs'!B451+'OLD...Tabs'!C451</f>
        <v>0</v>
      </c>
      <c r="P18" s="247">
        <f>+'OLD...Tabs'!B391+'OLD...Tabs'!C391</f>
        <v>0</v>
      </c>
    </row>
    <row r="19" spans="1:16" ht="15.75" customHeight="1">
      <c r="A19" s="139" t="s">
        <v>628</v>
      </c>
      <c r="B19" s="245">
        <f>+'OLD...Tabs'!B53+'OLD...Tabs'!C53</f>
        <v>0</v>
      </c>
      <c r="C19" s="245">
        <f>+'OLD...Tabs'!B84+'OLD...Tabs'!C84</f>
        <v>0</v>
      </c>
      <c r="D19" s="245">
        <f>+'OLD...Tabs'!B114+'OLD...Tabs'!C114</f>
        <v>0</v>
      </c>
      <c r="E19" s="245">
        <f>+'OLD...Tabs'!B145+'OLD...Tabs'!C145</f>
        <v>0</v>
      </c>
      <c r="F19" s="245">
        <f>+'OLD...Tabs'!B176+'OLD...Tabs'!C176</f>
        <v>0</v>
      </c>
      <c r="G19" s="245">
        <f>+'OLD...Tabs'!B206+'OLD...Tabs'!C206</f>
        <v>0</v>
      </c>
      <c r="H19" s="250">
        <f>+'OLD...Tabs'!B21+'OLD...Tabs'!C21</f>
        <v>0</v>
      </c>
      <c r="I19" s="247">
        <f>+'OLD...Tabs'!B268+'OLD...Tabs'!C268</f>
        <v>0</v>
      </c>
      <c r="J19" s="245">
        <f>+'OLD...Tabs'!B299+'OLD...Tabs'!C299</f>
        <v>0</v>
      </c>
      <c r="K19" s="245">
        <f>+'OLD...Tabs'!B330+'OLD...Tabs'!C330</f>
        <v>0</v>
      </c>
      <c r="L19" s="245">
        <f>+'OLD...Tabs'!B361+'OLD...Tabs'!C361</f>
        <v>0</v>
      </c>
      <c r="M19" s="247">
        <f>+'OLD...Tabs'!B237+'OLD...Tabs'!C237</f>
        <v>0</v>
      </c>
      <c r="N19" s="248">
        <f>+'OLD...Tabs'!B422+'OLD...Tabs'!C422</f>
        <v>0</v>
      </c>
      <c r="O19" s="174">
        <f>+'OLD...Tabs'!B452+'OLD...Tabs'!C452</f>
        <v>0</v>
      </c>
      <c r="P19" s="247">
        <f>+'OLD...Tabs'!B392+'OLD...Tabs'!C392</f>
        <v>0</v>
      </c>
    </row>
    <row r="20" spans="1:16" ht="15.75" customHeight="1">
      <c r="A20" s="139" t="s">
        <v>629</v>
      </c>
      <c r="B20" s="245">
        <f>+'OLD...Tabs'!B54+'OLD...Tabs'!C54</f>
        <v>88.579723379775444</v>
      </c>
      <c r="C20" s="245">
        <f>+'OLD...Tabs'!B85+'OLD...Tabs'!C85</f>
        <v>0</v>
      </c>
      <c r="D20" s="245">
        <f>+'OLD...Tabs'!B115+'OLD...Tabs'!C115</f>
        <v>90.158985233010355</v>
      </c>
      <c r="E20" s="245">
        <f>+'OLD...Tabs'!B146+'OLD...Tabs'!C146</f>
        <v>81.407021355591908</v>
      </c>
      <c r="F20" s="245">
        <f>+'OLD...Tabs'!B177+'OLD...Tabs'!C177</f>
        <v>88.234442169570968</v>
      </c>
      <c r="G20" s="245">
        <f>+'OLD...Tabs'!B207+'OLD...Tabs'!C207</f>
        <v>78.313079910049396</v>
      </c>
      <c r="H20" s="250">
        <f>+'OLD...Tabs'!B22+'OLD...Tabs'!C22</f>
        <v>86.679938756858689</v>
      </c>
      <c r="I20" s="247">
        <f>+'OLD...Tabs'!B269+'OLD...Tabs'!C269</f>
        <v>0</v>
      </c>
      <c r="J20" s="245">
        <f>+'OLD...Tabs'!B300+'OLD...Tabs'!C300</f>
        <v>62.384547588964345</v>
      </c>
      <c r="K20" s="245">
        <f>+'OLD...Tabs'!B331+'OLD...Tabs'!C331</f>
        <v>63.186193651569042</v>
      </c>
      <c r="L20" s="245">
        <f>+'OLD...Tabs'!B362+'OLD...Tabs'!C362</f>
        <v>69.730359191928812</v>
      </c>
      <c r="M20" s="247">
        <f>+'OLD...Tabs'!B238+'OLD...Tabs'!C238</f>
        <v>63.90962743499967</v>
      </c>
      <c r="N20" s="248">
        <f>+'OLD...Tabs'!B423+'OLD...Tabs'!C423</f>
        <v>0</v>
      </c>
      <c r="O20" s="174">
        <f>+'OLD...Tabs'!B453+'OLD...Tabs'!C453</f>
        <v>0</v>
      </c>
      <c r="P20" s="247">
        <f>+'OLD...Tabs'!B393+'OLD...Tabs'!C393</f>
        <v>0</v>
      </c>
    </row>
    <row r="21" spans="1:16" ht="15.75" customHeight="1">
      <c r="A21" s="139"/>
      <c r="B21" s="245"/>
      <c r="C21" s="245"/>
      <c r="D21" s="245"/>
      <c r="E21" s="245"/>
      <c r="F21" s="245"/>
      <c r="G21" s="245"/>
      <c r="H21" s="250"/>
      <c r="I21" s="247"/>
      <c r="J21" s="245"/>
      <c r="K21" s="245"/>
      <c r="L21" s="245"/>
      <c r="M21" s="247"/>
      <c r="N21" s="248"/>
      <c r="O21" s="174"/>
      <c r="P21" s="247"/>
    </row>
    <row r="22" spans="1:16" ht="15.75" customHeight="1">
      <c r="A22" s="139" t="s">
        <v>630</v>
      </c>
      <c r="B22" s="245">
        <f>+'OLD...Tabs'!B56+'OLD...Tabs'!C56</f>
        <v>82.820309567318418</v>
      </c>
      <c r="C22" s="245">
        <f>+'OLD...Tabs'!B87+'OLD...Tabs'!C87</f>
        <v>75.383050982355201</v>
      </c>
      <c r="D22" s="245">
        <f>+'OLD...Tabs'!B117+'OLD...Tabs'!C117</f>
        <v>68.98488556807186</v>
      </c>
      <c r="E22" s="245">
        <f>+'OLD...Tabs'!B148+'OLD...Tabs'!C148</f>
        <v>82.263414029323329</v>
      </c>
      <c r="F22" s="245">
        <f>+'OLD...Tabs'!B179+'OLD...Tabs'!C179</f>
        <v>0</v>
      </c>
      <c r="G22" s="245">
        <f>+'OLD...Tabs'!B209+'OLD...Tabs'!C209</f>
        <v>0</v>
      </c>
      <c r="H22" s="250">
        <f>+'OLD...Tabs'!B24+'OLD...Tabs'!C24</f>
        <v>76.733901948868152</v>
      </c>
      <c r="I22" s="247">
        <f>+'OLD...Tabs'!B271+'OLD...Tabs'!C271</f>
        <v>0</v>
      </c>
      <c r="J22" s="245">
        <f>+'OLD...Tabs'!B302+'OLD...Tabs'!C302</f>
        <v>70.194235132253922</v>
      </c>
      <c r="K22" s="245">
        <f>+'OLD...Tabs'!B333+'OLD...Tabs'!C333</f>
        <v>67.007725233620846</v>
      </c>
      <c r="L22" s="245">
        <f>+'OLD...Tabs'!B364+'OLD...Tabs'!C364</f>
        <v>67.704575659768366</v>
      </c>
      <c r="M22" s="247">
        <f>+'OLD...Tabs'!B240+'OLD...Tabs'!C240</f>
        <v>68.666629990495409</v>
      </c>
      <c r="N22" s="248">
        <f>+'OLD...Tabs'!B425+'OLD...Tabs'!C425</f>
        <v>0</v>
      </c>
      <c r="O22" s="174">
        <f>+'OLD...Tabs'!B455+'OLD...Tabs'!C455</f>
        <v>0</v>
      </c>
      <c r="P22" s="247">
        <f>+'OLD...Tabs'!B395+'OLD...Tabs'!C395</f>
        <v>0</v>
      </c>
    </row>
    <row r="23" spans="1:16" ht="15.75" customHeight="1">
      <c r="A23" s="139" t="s">
        <v>631</v>
      </c>
      <c r="B23" s="245">
        <f>+'OLD...Tabs'!B57+'OLD...Tabs'!C57</f>
        <v>0</v>
      </c>
      <c r="C23" s="245">
        <f>+'OLD...Tabs'!B88+'OLD...Tabs'!C88</f>
        <v>0</v>
      </c>
      <c r="D23" s="245">
        <f>+'OLD...Tabs'!B118+'OLD...Tabs'!C118</f>
        <v>0</v>
      </c>
      <c r="E23" s="245">
        <f>+'OLD...Tabs'!B149+'OLD...Tabs'!C149</f>
        <v>0</v>
      </c>
      <c r="F23" s="245">
        <f>+'OLD...Tabs'!B180+'OLD...Tabs'!C180</f>
        <v>0</v>
      </c>
      <c r="G23" s="245">
        <f>+'OLD...Tabs'!B210+'OLD...Tabs'!C210</f>
        <v>0</v>
      </c>
      <c r="H23" s="250">
        <f>+'OLD...Tabs'!B25+'OLD...Tabs'!C25</f>
        <v>0</v>
      </c>
      <c r="I23" s="247">
        <f>+'OLD...Tabs'!B272+'OLD...Tabs'!C272</f>
        <v>0</v>
      </c>
      <c r="J23" s="245">
        <f>+'OLD...Tabs'!B303+'OLD...Tabs'!C303</f>
        <v>0</v>
      </c>
      <c r="K23" s="245">
        <f>+'OLD...Tabs'!B334+'OLD...Tabs'!C334</f>
        <v>0</v>
      </c>
      <c r="L23" s="245">
        <f>+'OLD...Tabs'!B365+'OLD...Tabs'!C365</f>
        <v>0</v>
      </c>
      <c r="M23" s="247">
        <f>+'OLD...Tabs'!B241+'OLD...Tabs'!C241</f>
        <v>0</v>
      </c>
      <c r="N23" s="248">
        <f>+'OLD...Tabs'!B426+'OLD...Tabs'!C426</f>
        <v>0</v>
      </c>
      <c r="O23" s="174">
        <f>+'OLD...Tabs'!B456+'OLD...Tabs'!C456</f>
        <v>0</v>
      </c>
      <c r="P23" s="247">
        <f>+'OLD...Tabs'!B396+'OLD...Tabs'!C396</f>
        <v>0</v>
      </c>
    </row>
    <row r="24" spans="1:16" ht="15.75" customHeight="1">
      <c r="A24" s="139" t="s">
        <v>632</v>
      </c>
      <c r="B24" s="245">
        <f>+'OLD...Tabs'!B58+'OLD...Tabs'!C58</f>
        <v>88.767411954071278</v>
      </c>
      <c r="C24" s="245">
        <f>+'OLD...Tabs'!B89+'OLD...Tabs'!C89</f>
        <v>99.387434256435881</v>
      </c>
      <c r="D24" s="245">
        <f>+'OLD...Tabs'!B119+'OLD...Tabs'!C119</f>
        <v>91.590380770606259</v>
      </c>
      <c r="E24" s="245">
        <f>+'OLD...Tabs'!B150+'OLD...Tabs'!C150</f>
        <v>76.714570393751188</v>
      </c>
      <c r="F24" s="245">
        <f>+'OLD...Tabs'!B181+'OLD...Tabs'!C181</f>
        <v>94.728289365292071</v>
      </c>
      <c r="G24" s="245">
        <f>+'OLD...Tabs'!B211+'OLD...Tabs'!C211</f>
        <v>74.984716157205241</v>
      </c>
      <c r="H24" s="250">
        <f>+'OLD...Tabs'!B26+'OLD...Tabs'!C26</f>
        <v>89.685659567379517</v>
      </c>
      <c r="I24" s="247">
        <f>+'OLD...Tabs'!B273+'OLD...Tabs'!C273</f>
        <v>0</v>
      </c>
      <c r="J24" s="245">
        <f>+'OLD...Tabs'!B304+'OLD...Tabs'!C304</f>
        <v>71.577774981606638</v>
      </c>
      <c r="K24" s="245">
        <f>+'OLD...Tabs'!B335+'OLD...Tabs'!C335</f>
        <v>64.515127206689286</v>
      </c>
      <c r="L24" s="245">
        <f>+'OLD...Tabs'!B366+'OLD...Tabs'!C366</f>
        <v>60.181415496856985</v>
      </c>
      <c r="M24" s="247">
        <f>+'OLD...Tabs'!B242+'OLD...Tabs'!C242</f>
        <v>68.21844880190443</v>
      </c>
      <c r="N24" s="248">
        <f>+'OLD...Tabs'!B427+'OLD...Tabs'!C427</f>
        <v>0</v>
      </c>
      <c r="O24" s="174">
        <f>+'OLD...Tabs'!B457+'OLD...Tabs'!C457</f>
        <v>0</v>
      </c>
      <c r="P24" s="247">
        <f>+'OLD...Tabs'!B397+'OLD...Tabs'!C397</f>
        <v>0</v>
      </c>
    </row>
    <row r="25" spans="1:16" ht="15.75" customHeight="1">
      <c r="A25" s="145" t="s">
        <v>633</v>
      </c>
      <c r="B25" s="251">
        <f>+'OLD...Tabs'!B59+'OLD...Tabs'!C59</f>
        <v>86.807827724555807</v>
      </c>
      <c r="C25" s="251">
        <f>+'OLD...Tabs'!B90+'OLD...Tabs'!C90</f>
        <v>0</v>
      </c>
      <c r="D25" s="251">
        <f>+'OLD...Tabs'!B120+'OLD...Tabs'!C120</f>
        <v>80.617635602298179</v>
      </c>
      <c r="E25" s="251">
        <f>+'OLD...Tabs'!B151+'OLD...Tabs'!C151</f>
        <v>0</v>
      </c>
      <c r="F25" s="251">
        <f>+'OLD...Tabs'!B182+'OLD...Tabs'!C182</f>
        <v>80.803640235956777</v>
      </c>
      <c r="G25" s="251">
        <f>+'OLD...Tabs'!B212+'OLD...Tabs'!C212</f>
        <v>70.8084354568268</v>
      </c>
      <c r="H25" s="252">
        <f>+'OLD...Tabs'!B27+'OLD...Tabs'!C27</f>
        <v>82.200441109195737</v>
      </c>
      <c r="I25" s="253">
        <f>+'OLD...Tabs'!B274+'OLD...Tabs'!C274</f>
        <v>63.220464427791654</v>
      </c>
      <c r="J25" s="251">
        <f>+'OLD...Tabs'!B305+'OLD...Tabs'!C305</f>
        <v>0</v>
      </c>
      <c r="K25" s="251">
        <f>+'OLD...Tabs'!B336+'OLD...Tabs'!C336</f>
        <v>77.060668655802914</v>
      </c>
      <c r="L25" s="254">
        <f>+'OLD...Tabs'!B367+'OLD...Tabs'!C367</f>
        <v>65.080416050339267</v>
      </c>
      <c r="M25" s="253">
        <f>+'OLD...Tabs'!B243+'OLD...Tabs'!C243</f>
        <v>66.785915971731072</v>
      </c>
      <c r="N25" s="255">
        <f>+'OLD...Tabs'!B428+'OLD...Tabs'!C428</f>
        <v>0</v>
      </c>
      <c r="O25" s="184">
        <f>+'OLD...Tabs'!B458+'OLD...Tabs'!C458</f>
        <v>0</v>
      </c>
      <c r="P25" s="253">
        <f>+'OLD...Tabs'!B398+'OLD...Tabs'!C398</f>
        <v>0</v>
      </c>
    </row>
    <row r="26" spans="1:16" s="186" customFormat="1" ht="24" customHeight="1">
      <c r="A26" s="495" t="s">
        <v>761</v>
      </c>
      <c r="B26" s="495"/>
      <c r="C26" s="495"/>
      <c r="D26" s="495"/>
      <c r="E26" s="495"/>
      <c r="F26" s="495"/>
      <c r="G26" s="495"/>
      <c r="H26" s="495"/>
      <c r="I26" s="495"/>
      <c r="J26" s="495"/>
      <c r="K26" s="495"/>
      <c r="L26" s="495"/>
      <c r="M26" s="495"/>
      <c r="N26" s="495"/>
      <c r="O26" s="495"/>
      <c r="P26" s="495"/>
    </row>
    <row r="27" spans="1:16" s="186" customFormat="1" ht="10">
      <c r="M27" s="256"/>
      <c r="P27" s="192" t="s">
        <v>897</v>
      </c>
    </row>
    <row r="28" spans="1:16" ht="18">
      <c r="A28" s="484" t="s">
        <v>686</v>
      </c>
      <c r="B28" s="484"/>
      <c r="C28" s="484"/>
      <c r="D28" s="484"/>
      <c r="E28" s="484"/>
      <c r="F28" s="484"/>
      <c r="G28" s="484"/>
      <c r="H28" s="484"/>
      <c r="I28" s="484"/>
      <c r="J28" s="484"/>
      <c r="K28" s="484"/>
      <c r="L28" s="484"/>
      <c r="M28" s="484"/>
      <c r="N28" s="484"/>
      <c r="O28" s="484"/>
      <c r="P28" s="484"/>
    </row>
    <row r="29" spans="1:16" s="139" customFormat="1" ht="13">
      <c r="A29" s="140"/>
      <c r="B29" s="136"/>
      <c r="C29" s="136"/>
      <c r="D29" s="136"/>
      <c r="E29" s="136"/>
      <c r="F29" s="136"/>
      <c r="G29" s="136"/>
      <c r="H29" s="136"/>
      <c r="I29" s="136"/>
      <c r="J29" s="136"/>
      <c r="K29" s="136"/>
      <c r="L29" s="136"/>
      <c r="M29" s="136"/>
    </row>
    <row r="30" spans="1:16" ht="15.5">
      <c r="A30" s="499" t="s">
        <v>745</v>
      </c>
      <c r="B30" s="499"/>
      <c r="C30" s="499"/>
      <c r="D30" s="499"/>
      <c r="E30" s="499"/>
      <c r="F30" s="499"/>
      <c r="G30" s="499"/>
      <c r="H30" s="499"/>
      <c r="I30" s="499"/>
      <c r="J30" s="499"/>
      <c r="K30" s="499"/>
      <c r="L30" s="499"/>
      <c r="M30" s="499"/>
      <c r="N30" s="499"/>
      <c r="O30" s="499"/>
      <c r="P30" s="499"/>
    </row>
    <row r="31" spans="1:16" s="139" customFormat="1" ht="9.75" customHeight="1">
      <c r="A31" s="258"/>
      <c r="B31" s="136"/>
      <c r="C31" s="136"/>
      <c r="D31" s="136"/>
      <c r="E31" s="136"/>
      <c r="F31" s="136"/>
      <c r="G31" s="136"/>
      <c r="H31" s="136"/>
      <c r="I31" s="136"/>
      <c r="J31" s="136"/>
      <c r="K31" s="136"/>
      <c r="L31" s="136"/>
      <c r="M31" s="136"/>
    </row>
    <row r="32" spans="1:16" s="240" customFormat="1" ht="18" customHeight="1">
      <c r="A32" s="235"/>
      <c r="B32" s="239" t="s">
        <v>517</v>
      </c>
      <c r="C32" s="239"/>
      <c r="D32" s="239"/>
      <c r="E32" s="239"/>
      <c r="F32" s="239"/>
      <c r="G32" s="239"/>
      <c r="H32" s="259"/>
      <c r="I32" s="238" t="s">
        <v>520</v>
      </c>
      <c r="J32" s="239"/>
      <c r="K32" s="239"/>
      <c r="L32" s="239"/>
      <c r="M32" s="239"/>
      <c r="N32" s="238" t="s">
        <v>536</v>
      </c>
      <c r="O32" s="239"/>
      <c r="P32" s="239"/>
    </row>
    <row r="33" spans="1:16" s="244" customFormat="1" ht="26.25" customHeight="1">
      <c r="A33" s="241"/>
      <c r="B33" s="236">
        <v>1</v>
      </c>
      <c r="C33" s="236">
        <v>2</v>
      </c>
      <c r="D33" s="236">
        <v>3</v>
      </c>
      <c r="E33" s="236">
        <v>4</v>
      </c>
      <c r="F33" s="236">
        <v>5</v>
      </c>
      <c r="G33" s="236">
        <v>6</v>
      </c>
      <c r="H33" s="242" t="s">
        <v>683</v>
      </c>
      <c r="I33" s="243" t="s">
        <v>684</v>
      </c>
      <c r="J33" s="236">
        <v>1</v>
      </c>
      <c r="K33" s="236">
        <v>2</v>
      </c>
      <c r="L33" s="236">
        <v>3</v>
      </c>
      <c r="M33" s="237" t="s">
        <v>685</v>
      </c>
      <c r="N33" s="237">
        <v>1</v>
      </c>
      <c r="O33" s="236">
        <v>2</v>
      </c>
      <c r="P33" s="237" t="s">
        <v>685</v>
      </c>
    </row>
    <row r="34" spans="1:16" ht="15.75" customHeight="1">
      <c r="A34" s="139" t="s">
        <v>618</v>
      </c>
      <c r="B34" s="245">
        <f>+'OLD...Tabs'!D41</f>
        <v>14.852838265750027</v>
      </c>
      <c r="C34" s="245">
        <f>+'OLD...Tabs'!D72</f>
        <v>14.60972461273666</v>
      </c>
      <c r="D34" s="245">
        <f>+'OLD...Tabs'!D102</f>
        <v>27.30347665027675</v>
      </c>
      <c r="E34" s="245">
        <f>+'OLD...Tabs'!D133</f>
        <v>23.034813980220108</v>
      </c>
      <c r="F34" s="245">
        <f>+'OLD...Tabs'!D164</f>
        <v>9.9975781060789544</v>
      </c>
      <c r="G34" s="245">
        <f>+'OLD...Tabs'!D194</f>
        <v>82.032359227996821</v>
      </c>
      <c r="H34" s="249">
        <f>+'OLD...Tabs'!D9</f>
        <v>19.408472423088686</v>
      </c>
      <c r="I34" s="249">
        <f>+'OLD...Tabs'!D256</f>
        <v>0</v>
      </c>
      <c r="J34" s="245">
        <f>+'OLD...Tabs'!D287</f>
        <v>35.724136890106429</v>
      </c>
      <c r="K34" s="245">
        <f>+'OLD...Tabs'!D318</f>
        <v>25.605872012010714</v>
      </c>
      <c r="L34" s="245">
        <f>+'OLD...Tabs'!D349</f>
        <v>37.064941052914698</v>
      </c>
      <c r="M34" s="247">
        <f>+'OLD...Tabs'!D225</f>
        <v>30.940238040837169</v>
      </c>
      <c r="N34" s="248">
        <f>+'OLD...Tabs'!D410</f>
        <v>14.764192435212125</v>
      </c>
      <c r="O34" s="174">
        <f>+'OLD...Tabs'!D440</f>
        <v>11.96276183087665</v>
      </c>
      <c r="P34" s="247">
        <f>+'OLD...Tabs'!D380</f>
        <v>13.351294549031884</v>
      </c>
    </row>
    <row r="35" spans="1:16" ht="15.75" customHeight="1">
      <c r="A35" s="139" t="s">
        <v>619</v>
      </c>
      <c r="B35" s="245">
        <f>+'OLD...Tabs'!D42</f>
        <v>9.7309779608982723</v>
      </c>
      <c r="C35" s="245">
        <f>+'OLD...Tabs'!D73</f>
        <v>42.145546168667558</v>
      </c>
      <c r="D35" s="245">
        <f>+'OLD...Tabs'!D103</f>
        <v>23.369528562757132</v>
      </c>
      <c r="E35" s="245">
        <f>+'OLD...Tabs'!D134</f>
        <v>20.645277882448841</v>
      </c>
      <c r="F35" s="245">
        <f>+'OLD...Tabs'!D165</f>
        <v>0</v>
      </c>
      <c r="G35" s="245">
        <f>+'OLD...Tabs'!D195</f>
        <v>24.998238909532784</v>
      </c>
      <c r="H35" s="247">
        <f>+'OLD...Tabs'!D10</f>
        <v>20.397234002477184</v>
      </c>
      <c r="I35" s="247">
        <f>+'OLD...Tabs'!D257</f>
        <v>0</v>
      </c>
      <c r="J35" s="245">
        <f>+'OLD...Tabs'!D288</f>
        <v>30.760072770078654</v>
      </c>
      <c r="K35" s="245">
        <f>+'OLD...Tabs'!D319</f>
        <v>31.541226294680289</v>
      </c>
      <c r="L35" s="245">
        <f>+'OLD...Tabs'!D350</f>
        <v>30.608719171019491</v>
      </c>
      <c r="M35" s="247">
        <f>+'OLD...Tabs'!D226</f>
        <v>30.821185161726071</v>
      </c>
      <c r="N35" s="248">
        <f>+'OLD...Tabs'!D411</f>
        <v>0</v>
      </c>
      <c r="O35" s="174">
        <f>+'OLD...Tabs'!D441</f>
        <v>0</v>
      </c>
      <c r="P35" s="247">
        <f>+'OLD...Tabs'!D381</f>
        <v>0</v>
      </c>
    </row>
    <row r="36" spans="1:16" ht="15.75" customHeight="1">
      <c r="A36" s="139" t="s">
        <v>620</v>
      </c>
      <c r="B36" s="245">
        <f>+'OLD...Tabs'!D43</f>
        <v>4.1687594173782019</v>
      </c>
      <c r="C36" s="245">
        <f>+'OLD...Tabs'!D74</f>
        <v>0</v>
      </c>
      <c r="D36" s="245">
        <f>+'OLD...Tabs'!D104</f>
        <v>11.831146427707223</v>
      </c>
      <c r="E36" s="245">
        <f>+'OLD...Tabs'!D135</f>
        <v>0</v>
      </c>
      <c r="F36" s="245">
        <f>+'OLD...Tabs'!D166</f>
        <v>0</v>
      </c>
      <c r="G36" s="245">
        <f>+'OLD...Tabs'!D196</f>
        <v>0</v>
      </c>
      <c r="H36" s="247">
        <f>+'OLD...Tabs'!D11</f>
        <v>5.5182691276625579</v>
      </c>
      <c r="I36" s="247">
        <f>+'OLD...Tabs'!D258</f>
        <v>0</v>
      </c>
      <c r="J36" s="245">
        <f>+'OLD...Tabs'!D289</f>
        <v>0</v>
      </c>
      <c r="K36" s="245">
        <f>+'OLD...Tabs'!D320</f>
        <v>21.128847863826905</v>
      </c>
      <c r="L36" s="245">
        <f>+'OLD...Tabs'!D351</f>
        <v>0</v>
      </c>
      <c r="M36" s="247">
        <f>+'OLD...Tabs'!D227</f>
        <v>21.128847863826905</v>
      </c>
      <c r="N36" s="248">
        <f>+'OLD...Tabs'!D412</f>
        <v>0</v>
      </c>
      <c r="O36" s="174">
        <f>+'OLD...Tabs'!D442</f>
        <v>0</v>
      </c>
      <c r="P36" s="247">
        <f>+'OLD...Tabs'!D382</f>
        <v>0</v>
      </c>
    </row>
    <row r="37" spans="1:16" ht="15.75" customHeight="1">
      <c r="A37" s="139" t="s">
        <v>657</v>
      </c>
      <c r="B37" s="245">
        <f>+'OLD...Tabs'!D44</f>
        <v>0</v>
      </c>
      <c r="C37" s="245">
        <f>+'OLD...Tabs'!D75</f>
        <v>0</v>
      </c>
      <c r="D37" s="245">
        <f>+'OLD...Tabs'!D105</f>
        <v>0</v>
      </c>
      <c r="E37" s="245">
        <f>+'OLD...Tabs'!D136</f>
        <v>0</v>
      </c>
      <c r="F37" s="245">
        <f>+'OLD...Tabs'!D167</f>
        <v>0</v>
      </c>
      <c r="G37" s="245">
        <f>+'OLD...Tabs'!D197</f>
        <v>0</v>
      </c>
      <c r="H37" s="247">
        <f>+'OLD...Tabs'!D12</f>
        <v>0</v>
      </c>
      <c r="I37" s="247">
        <f>+'OLD...Tabs'!D259</f>
        <v>29.516995310762184</v>
      </c>
      <c r="J37" s="245">
        <f>+'OLD...Tabs'!D290</f>
        <v>34.414412074138532</v>
      </c>
      <c r="K37" s="245">
        <f>+'OLD...Tabs'!D321</f>
        <v>0</v>
      </c>
      <c r="L37" s="245">
        <f>+'OLD...Tabs'!D352</f>
        <v>36.130953822311547</v>
      </c>
      <c r="M37" s="247">
        <f>+'OLD...Tabs'!D228</f>
        <v>30.004198925471826</v>
      </c>
      <c r="N37" s="248">
        <f>+'OLD...Tabs'!D413</f>
        <v>0</v>
      </c>
      <c r="O37" s="174">
        <f>+'OLD...Tabs'!D443</f>
        <v>0</v>
      </c>
      <c r="P37" s="247">
        <f>+'OLD...Tabs'!D383</f>
        <v>0</v>
      </c>
    </row>
    <row r="38" spans="1:16" ht="15.75" customHeight="1">
      <c r="B38" s="139"/>
      <c r="C38" s="139"/>
      <c r="D38" s="139"/>
      <c r="E38" s="139"/>
      <c r="F38" s="139"/>
      <c r="G38" s="139"/>
      <c r="H38" s="260"/>
      <c r="I38" s="260"/>
      <c r="J38" s="139"/>
      <c r="K38" s="139"/>
      <c r="L38" s="139"/>
      <c r="M38" s="260"/>
      <c r="N38" s="260"/>
      <c r="O38" s="139"/>
      <c r="P38" s="260"/>
    </row>
    <row r="39" spans="1:16" ht="15.75" customHeight="1">
      <c r="A39" s="139" t="s">
        <v>622</v>
      </c>
      <c r="B39" s="245">
        <f>+'OLD...Tabs'!D46</f>
        <v>14.263002329514885</v>
      </c>
      <c r="C39" s="245">
        <f>+'OLD...Tabs'!D77</f>
        <v>2.4282682520829204</v>
      </c>
      <c r="D39" s="245">
        <f>+'OLD...Tabs'!D107</f>
        <v>28.548967289305672</v>
      </c>
      <c r="E39" s="245">
        <f>+'OLD...Tabs'!D138</f>
        <v>21.077283547677155</v>
      </c>
      <c r="F39" s="245">
        <f>+'OLD...Tabs'!D169</f>
        <v>31.254859188410663</v>
      </c>
      <c r="G39" s="245">
        <f>+'OLD...Tabs'!D199</f>
        <v>11.45179792536555</v>
      </c>
      <c r="H39" s="247">
        <f>+'OLD...Tabs'!D14</f>
        <v>19.652153860172312</v>
      </c>
      <c r="I39" s="247">
        <f>+'OLD...Tabs'!D261</f>
        <v>29.20272144791598</v>
      </c>
      <c r="J39" s="245">
        <f>+'OLD...Tabs'!D292</f>
        <v>0</v>
      </c>
      <c r="K39" s="245">
        <f>+'OLD...Tabs'!D323</f>
        <v>0</v>
      </c>
      <c r="L39" s="245">
        <f>+'OLD...Tabs'!D354</f>
        <v>0</v>
      </c>
      <c r="M39" s="247">
        <f>+'OLD...Tabs'!D230</f>
        <v>29.20272144791598</v>
      </c>
      <c r="N39" s="248">
        <f>+'OLD...Tabs'!D415</f>
        <v>38.705955658847536</v>
      </c>
      <c r="O39" s="174">
        <f>+'OLD...Tabs'!D445</f>
        <v>0</v>
      </c>
      <c r="P39" s="247">
        <f>+'OLD...Tabs'!D385</f>
        <v>38.705955658847536</v>
      </c>
    </row>
    <row r="40" spans="1:16" ht="15.75" customHeight="1">
      <c r="A40" s="139" t="s">
        <v>623</v>
      </c>
      <c r="B40" s="245">
        <f>+'OLD...Tabs'!D47</f>
        <v>11.8465095941051</v>
      </c>
      <c r="C40" s="245">
        <f>+'OLD...Tabs'!D78</f>
        <v>0</v>
      </c>
      <c r="D40" s="245">
        <f>+'OLD...Tabs'!D108</f>
        <v>22.760618000906273</v>
      </c>
      <c r="E40" s="245">
        <f>+'OLD...Tabs'!D139</f>
        <v>35.24766131633686</v>
      </c>
      <c r="F40" s="245">
        <f>+'OLD...Tabs'!D170</f>
        <v>0</v>
      </c>
      <c r="G40" s="245">
        <f>+'OLD...Tabs'!D200</f>
        <v>0</v>
      </c>
      <c r="H40" s="247">
        <f>+'OLD...Tabs'!D15</f>
        <v>18.545158692086979</v>
      </c>
      <c r="I40" s="247">
        <f>+'OLD...Tabs'!D262</f>
        <v>0</v>
      </c>
      <c r="J40" s="245">
        <f>+'OLD...Tabs'!D293</f>
        <v>35.437770730639137</v>
      </c>
      <c r="K40" s="245">
        <f>+'OLD...Tabs'!D324</f>
        <v>45.591757858577644</v>
      </c>
      <c r="L40" s="245">
        <f>+'OLD...Tabs'!D355</f>
        <v>49.889201150199177</v>
      </c>
      <c r="M40" s="247">
        <f>+'OLD...Tabs'!D231</f>
        <v>43.659194602530299</v>
      </c>
      <c r="N40" s="248">
        <f>+'OLD...Tabs'!D416</f>
        <v>33.591485445695838</v>
      </c>
      <c r="O40" s="174">
        <f>+'OLD...Tabs'!D446</f>
        <v>0</v>
      </c>
      <c r="P40" s="247">
        <f>+'OLD...Tabs'!D386</f>
        <v>33.591485445695838</v>
      </c>
    </row>
    <row r="41" spans="1:16" ht="15.75" customHeight="1">
      <c r="A41" s="139" t="s">
        <v>624</v>
      </c>
      <c r="B41" s="245">
        <f>+'OLD...Tabs'!D48</f>
        <v>4.5956354300385174</v>
      </c>
      <c r="C41" s="245">
        <f>+'OLD...Tabs'!D79</f>
        <v>14.040201333692389</v>
      </c>
      <c r="D41" s="245">
        <f>+'OLD...Tabs'!D109</f>
        <v>19.950764345099021</v>
      </c>
      <c r="E41" s="245">
        <f>+'OLD...Tabs'!D140</f>
        <v>28.593956753471122</v>
      </c>
      <c r="F41" s="245">
        <f>+'OLD...Tabs'!D171</f>
        <v>30.27597402597403</v>
      </c>
      <c r="G41" s="245">
        <f>+'OLD...Tabs'!D201</f>
        <v>41.73172462739528</v>
      </c>
      <c r="H41" s="247">
        <f>+'OLD...Tabs'!D16</f>
        <v>17.185322235806392</v>
      </c>
      <c r="I41" s="247">
        <f>+'OLD...Tabs'!D263</f>
        <v>0</v>
      </c>
      <c r="J41" s="245">
        <f>+'OLD...Tabs'!D294</f>
        <v>21.06491795830209</v>
      </c>
      <c r="K41" s="245">
        <f>+'OLD...Tabs'!D325</f>
        <v>29.341938031384167</v>
      </c>
      <c r="L41" s="245">
        <f>+'OLD...Tabs'!D356</f>
        <v>25.881038915560179</v>
      </c>
      <c r="M41" s="247">
        <f>+'OLD...Tabs'!D232</f>
        <v>25.496646637600289</v>
      </c>
      <c r="N41" s="248">
        <f>+'OLD...Tabs'!D417</f>
        <v>22.043566966922803</v>
      </c>
      <c r="O41" s="174">
        <f>+'OLD...Tabs'!D447</f>
        <v>0.60728744939271273</v>
      </c>
      <c r="P41" s="247">
        <f>+'OLD...Tabs'!D387</f>
        <v>20.024245640566907</v>
      </c>
    </row>
    <row r="42" spans="1:16" ht="15.75" customHeight="1">
      <c r="A42" s="139" t="s">
        <v>625</v>
      </c>
      <c r="B42" s="245">
        <f>+'OLD...Tabs'!D49</f>
        <v>5.5420360325233089</v>
      </c>
      <c r="C42" s="245">
        <f>+'OLD...Tabs'!D80</f>
        <v>13.280887410673026</v>
      </c>
      <c r="D42" s="245">
        <f>+'OLD...Tabs'!D110</f>
        <v>13.654517159198839</v>
      </c>
      <c r="E42" s="245">
        <f>+'OLD...Tabs'!D141</f>
        <v>18.293595580473639</v>
      </c>
      <c r="F42" s="245">
        <f>+'OLD...Tabs'!D172</f>
        <v>20.217037799090697</v>
      </c>
      <c r="G42" s="245">
        <f>+'OLD...Tabs'!D202</f>
        <v>0.49507063292219711</v>
      </c>
      <c r="H42" s="247">
        <f>+'OLD...Tabs'!D17</f>
        <v>31.416449816656304</v>
      </c>
      <c r="I42" s="247">
        <f>+'OLD...Tabs'!D264</f>
        <v>0</v>
      </c>
      <c r="J42" s="245">
        <f>+'OLD...Tabs'!D295</f>
        <v>17.939454190785749</v>
      </c>
      <c r="K42" s="245">
        <f>+'OLD...Tabs'!D326</f>
        <v>30.774617051831576</v>
      </c>
      <c r="L42" s="245">
        <f>+'OLD...Tabs'!D357</f>
        <v>27.037439204313525</v>
      </c>
      <c r="M42" s="247">
        <f>+'OLD...Tabs'!D233</f>
        <v>21.415191667269383</v>
      </c>
      <c r="N42" s="248">
        <f>+'OLD...Tabs'!D418</f>
        <v>0</v>
      </c>
      <c r="O42" s="174">
        <f>+'OLD...Tabs'!D448</f>
        <v>0</v>
      </c>
      <c r="P42" s="247">
        <f>+'OLD...Tabs'!D388</f>
        <v>0</v>
      </c>
    </row>
    <row r="43" spans="1:16" ht="15.75" customHeight="1">
      <c r="B43" s="139"/>
      <c r="C43" s="139"/>
      <c r="D43" s="139"/>
      <c r="E43" s="139"/>
      <c r="F43" s="139"/>
      <c r="G43" s="139"/>
      <c r="H43" s="260"/>
      <c r="I43" s="260"/>
      <c r="J43" s="139"/>
      <c r="K43" s="139"/>
      <c r="L43" s="139"/>
      <c r="M43" s="260"/>
      <c r="N43" s="260"/>
      <c r="O43" s="139"/>
      <c r="P43" s="260"/>
    </row>
    <row r="44" spans="1:16" ht="15.75" customHeight="1">
      <c r="A44" s="139" t="s">
        <v>672</v>
      </c>
      <c r="B44" s="245">
        <f>+'OLD...Tabs'!D51</f>
        <v>16.950602323757931</v>
      </c>
      <c r="C44" s="245">
        <f>+'OLD...Tabs'!D82</f>
        <v>32.45485740001125</v>
      </c>
      <c r="D44" s="245">
        <f>+'OLD...Tabs'!D112</f>
        <v>0</v>
      </c>
      <c r="E44" s="245">
        <f>+'OLD...Tabs'!D143</f>
        <v>35.827713275786472</v>
      </c>
      <c r="F44" s="245">
        <f>+'OLD...Tabs'!D174</f>
        <v>0</v>
      </c>
      <c r="G44" s="245">
        <f>+'OLD...Tabs'!D204</f>
        <v>0</v>
      </c>
      <c r="H44" s="247">
        <f>+'OLD...Tabs'!D19</f>
        <v>21.09396435588118</v>
      </c>
      <c r="I44" s="247">
        <f>+'OLD...Tabs'!D266</f>
        <v>0</v>
      </c>
      <c r="J44" s="245">
        <f>+'OLD...Tabs'!D297</f>
        <v>0</v>
      </c>
      <c r="K44" s="245">
        <f>+'OLD...Tabs'!D328</f>
        <v>0</v>
      </c>
      <c r="L44" s="245">
        <f>+'OLD...Tabs'!D359</f>
        <v>0</v>
      </c>
      <c r="M44" s="247">
        <f>+'OLD...Tabs'!D235</f>
        <v>0</v>
      </c>
      <c r="N44" s="248">
        <f>+'OLD...Tabs'!D420</f>
        <v>0</v>
      </c>
      <c r="O44" s="174">
        <f>+'OLD...Tabs'!D450</f>
        <v>0</v>
      </c>
      <c r="P44" s="247">
        <f>+'OLD...Tabs'!D390</f>
        <v>0</v>
      </c>
    </row>
    <row r="45" spans="1:16" ht="15.75" customHeight="1">
      <c r="A45" s="139" t="s">
        <v>627</v>
      </c>
      <c r="B45" s="245">
        <f>+'OLD...Tabs'!D52</f>
        <v>14.982195412532562</v>
      </c>
      <c r="C45" s="245">
        <f>+'OLD...Tabs'!D83</f>
        <v>23.226644542933869</v>
      </c>
      <c r="D45" s="245">
        <f>+'OLD...Tabs'!D113</f>
        <v>17.977252358920179</v>
      </c>
      <c r="E45" s="245">
        <f>+'OLD...Tabs'!D144</f>
        <v>44.958198714319018</v>
      </c>
      <c r="F45" s="245">
        <f>+'OLD...Tabs'!D175</f>
        <v>29.235595179131582</v>
      </c>
      <c r="G45" s="245">
        <f>+'OLD...Tabs'!D205</f>
        <v>8.8209997591770737</v>
      </c>
      <c r="H45" s="247">
        <f>+'OLD...Tabs'!D20</f>
        <v>18.316124729979055</v>
      </c>
      <c r="I45" s="247">
        <f>+'OLD...Tabs'!D267</f>
        <v>0</v>
      </c>
      <c r="J45" s="245">
        <f>+'OLD...Tabs'!D298</f>
        <v>43.870623586243688</v>
      </c>
      <c r="K45" s="245">
        <f>+'OLD...Tabs'!D329</f>
        <v>46.333463804149218</v>
      </c>
      <c r="L45" s="245">
        <f>+'OLD...Tabs'!D360</f>
        <v>50.439942536565766</v>
      </c>
      <c r="M45" s="247">
        <f>+'OLD...Tabs'!D236</f>
        <v>45.905558274976336</v>
      </c>
      <c r="N45" s="248">
        <f>+'OLD...Tabs'!D421</f>
        <v>0</v>
      </c>
      <c r="O45" s="174">
        <f>+'OLD...Tabs'!D451</f>
        <v>0</v>
      </c>
      <c r="P45" s="247">
        <f>+'OLD...Tabs'!D391</f>
        <v>0</v>
      </c>
    </row>
    <row r="46" spans="1:16" ht="15.75" customHeight="1">
      <c r="A46" s="139" t="s">
        <v>628</v>
      </c>
      <c r="B46" s="245">
        <f>+'OLD...Tabs'!D53</f>
        <v>0</v>
      </c>
      <c r="C46" s="245">
        <f>+'OLD...Tabs'!D84</f>
        <v>0</v>
      </c>
      <c r="D46" s="245">
        <f>+'OLD...Tabs'!D114</f>
        <v>0</v>
      </c>
      <c r="E46" s="245">
        <f>+'OLD...Tabs'!D145</f>
        <v>0</v>
      </c>
      <c r="F46" s="245">
        <f>+'OLD...Tabs'!D176</f>
        <v>0</v>
      </c>
      <c r="G46" s="245">
        <f>+'OLD...Tabs'!D206</f>
        <v>0</v>
      </c>
      <c r="H46" s="247">
        <f>+'OLD...Tabs'!D21</f>
        <v>0</v>
      </c>
      <c r="I46" s="247">
        <f>+'OLD...Tabs'!D268</f>
        <v>0</v>
      </c>
      <c r="J46" s="245">
        <f>+'OLD...Tabs'!D299</f>
        <v>0</v>
      </c>
      <c r="K46" s="245">
        <f>+'OLD...Tabs'!D330</f>
        <v>0</v>
      </c>
      <c r="L46" s="245">
        <f>+'OLD...Tabs'!D361</f>
        <v>0</v>
      </c>
      <c r="M46" s="247">
        <f>+'OLD...Tabs'!D237</f>
        <v>0</v>
      </c>
      <c r="N46" s="248">
        <f>+'OLD...Tabs'!D422</f>
        <v>0</v>
      </c>
      <c r="O46" s="174">
        <f>+'OLD...Tabs'!D452</f>
        <v>0</v>
      </c>
      <c r="P46" s="247">
        <f>+'OLD...Tabs'!D392</f>
        <v>0</v>
      </c>
    </row>
    <row r="47" spans="1:16" s="186" customFormat="1" ht="16.5" customHeight="1">
      <c r="A47" s="139" t="s">
        <v>629</v>
      </c>
      <c r="B47" s="245">
        <f>+'OLD...Tabs'!D54</f>
        <v>11.420276620224557</v>
      </c>
      <c r="C47" s="245">
        <f>+'OLD...Tabs'!D85</f>
        <v>0</v>
      </c>
      <c r="D47" s="245">
        <f>+'OLD...Tabs'!D115</f>
        <v>9.8410147669896446</v>
      </c>
      <c r="E47" s="245">
        <f>+'OLD...Tabs'!D146</f>
        <v>18.592978644408081</v>
      </c>
      <c r="F47" s="245">
        <f>+'OLD...Tabs'!D177</f>
        <v>11.76555783042903</v>
      </c>
      <c r="G47" s="245">
        <f>+'OLD...Tabs'!D207</f>
        <v>21.686920089950597</v>
      </c>
      <c r="H47" s="247">
        <f>+'OLD...Tabs'!D22</f>
        <v>13.320061243141318</v>
      </c>
      <c r="I47" s="247">
        <f>+'OLD...Tabs'!D269</f>
        <v>0</v>
      </c>
      <c r="J47" s="245">
        <f>+'OLD...Tabs'!D300</f>
        <v>37.615452411035662</v>
      </c>
      <c r="K47" s="245">
        <f>+'OLD...Tabs'!D331</f>
        <v>36.813806348430958</v>
      </c>
      <c r="L47" s="245">
        <f>+'OLD...Tabs'!D362</f>
        <v>30.269640808071177</v>
      </c>
      <c r="M47" s="247">
        <f>+'OLD...Tabs'!D238</f>
        <v>36.09037256500033</v>
      </c>
      <c r="N47" s="248">
        <f>+'OLD...Tabs'!D423</f>
        <v>0</v>
      </c>
      <c r="O47" s="174">
        <f>+'OLD...Tabs'!D453</f>
        <v>0</v>
      </c>
      <c r="P47" s="247">
        <f>+'OLD...Tabs'!D393</f>
        <v>0</v>
      </c>
    </row>
    <row r="48" spans="1:16" s="186" customFormat="1" ht="14.25" customHeight="1">
      <c r="H48" s="261"/>
      <c r="I48" s="261"/>
      <c r="M48" s="261"/>
      <c r="N48" s="261"/>
      <c r="P48" s="261"/>
    </row>
    <row r="49" spans="1:16" s="186" customFormat="1" ht="15" customHeight="1">
      <c r="A49" s="139" t="s">
        <v>630</v>
      </c>
      <c r="B49" s="245">
        <f>+'OLD...Tabs'!D56</f>
        <v>16.528390977844765</v>
      </c>
      <c r="C49" s="245">
        <f>+'OLD...Tabs'!D87</f>
        <v>23.879802994871707</v>
      </c>
      <c r="D49" s="245">
        <f>+'OLD...Tabs'!D117</f>
        <v>30.362363460433926</v>
      </c>
      <c r="E49" s="245">
        <f>+'OLD...Tabs'!D148</f>
        <v>17.585319735904033</v>
      </c>
      <c r="F49" s="245">
        <f>+'OLD...Tabs'!D179</f>
        <v>0</v>
      </c>
      <c r="G49" s="245">
        <f>+'OLD...Tabs'!D209</f>
        <v>0</v>
      </c>
      <c r="H49" s="247">
        <f>+'OLD...Tabs'!D24</f>
        <v>22.613968669206905</v>
      </c>
      <c r="I49" s="247">
        <f>+'OLD...Tabs'!D271</f>
        <v>0</v>
      </c>
      <c r="J49" s="245">
        <f>+'OLD...Tabs'!D302</f>
        <v>29.667383440697577</v>
      </c>
      <c r="K49" s="245">
        <f>+'OLD...Tabs'!D333</f>
        <v>32.782369500109262</v>
      </c>
      <c r="L49" s="245">
        <f>+'OLD...Tabs'!D364</f>
        <v>31.877729257641924</v>
      </c>
      <c r="M49" s="247">
        <f>+'OLD...Tabs'!D240</f>
        <v>31.153812839157041</v>
      </c>
      <c r="N49" s="248">
        <f>+'OLD...Tabs'!D425</f>
        <v>0</v>
      </c>
      <c r="O49" s="174">
        <f>+'OLD...Tabs'!D455</f>
        <v>0</v>
      </c>
      <c r="P49" s="247">
        <f>+'OLD...Tabs'!D395</f>
        <v>0</v>
      </c>
    </row>
    <row r="50" spans="1:16" s="186" customFormat="1" ht="12.5">
      <c r="A50" s="139" t="s">
        <v>631</v>
      </c>
      <c r="B50" s="245">
        <f>+'OLD...Tabs'!D57</f>
        <v>0</v>
      </c>
      <c r="C50" s="245">
        <f>+'OLD...Tabs'!D88</f>
        <v>0</v>
      </c>
      <c r="D50" s="245">
        <f>+'OLD...Tabs'!D118</f>
        <v>0</v>
      </c>
      <c r="E50" s="245">
        <f>+'OLD...Tabs'!D149</f>
        <v>0</v>
      </c>
      <c r="F50" s="245">
        <f>+'OLD...Tabs'!D180</f>
        <v>0</v>
      </c>
      <c r="G50" s="245">
        <f>+'OLD...Tabs'!D210</f>
        <v>0</v>
      </c>
      <c r="H50" s="247">
        <f>+'OLD...Tabs'!D25</f>
        <v>0</v>
      </c>
      <c r="I50" s="247">
        <f>+'OLD...Tabs'!D272</f>
        <v>0</v>
      </c>
      <c r="J50" s="245">
        <f>+'OLD...Tabs'!D303</f>
        <v>0</v>
      </c>
      <c r="K50" s="245">
        <f>+'OLD...Tabs'!D334</f>
        <v>0</v>
      </c>
      <c r="L50" s="245">
        <f>+'OLD...Tabs'!D365</f>
        <v>0</v>
      </c>
      <c r="M50" s="247">
        <f>+'OLD...Tabs'!D241</f>
        <v>0</v>
      </c>
      <c r="N50" s="248">
        <f>+'OLD...Tabs'!D426</f>
        <v>0</v>
      </c>
      <c r="O50" s="174">
        <f>+'OLD...Tabs'!D456</f>
        <v>0</v>
      </c>
      <c r="P50" s="247">
        <f>+'OLD...Tabs'!D396</f>
        <v>0</v>
      </c>
    </row>
    <row r="51" spans="1:16" s="186" customFormat="1" ht="16.5" customHeight="1">
      <c r="A51" s="139" t="s">
        <v>632</v>
      </c>
      <c r="B51" s="245">
        <f>+'OLD...Tabs'!D58</f>
        <v>11.232588045928722</v>
      </c>
      <c r="C51" s="245">
        <f>+'OLD...Tabs'!D89</f>
        <v>0.61256574356412263</v>
      </c>
      <c r="D51" s="245">
        <f>+'OLD...Tabs'!D119</f>
        <v>8.4096192293937531</v>
      </c>
      <c r="E51" s="245">
        <f>+'OLD...Tabs'!D150</f>
        <v>23.285429606248815</v>
      </c>
      <c r="F51" s="245">
        <f>+'OLD...Tabs'!D181</f>
        <v>5.2717106347079277</v>
      </c>
      <c r="G51" s="245">
        <f>+'OLD...Tabs'!D211</f>
        <v>25.015283842794762</v>
      </c>
      <c r="H51" s="247">
        <f>+'OLD...Tabs'!D26</f>
        <v>10.314340432620485</v>
      </c>
      <c r="I51" s="247">
        <f>+'OLD...Tabs'!D273</f>
        <v>0</v>
      </c>
      <c r="J51" s="245">
        <f>+'OLD...Tabs'!D304</f>
        <v>28.422225018393373</v>
      </c>
      <c r="K51" s="245">
        <f>+'OLD...Tabs'!D335</f>
        <v>35.484872793310714</v>
      </c>
      <c r="L51" s="245">
        <f>+'OLD...Tabs'!D366</f>
        <v>39.818584503143022</v>
      </c>
      <c r="M51" s="247">
        <f>+'OLD...Tabs'!D242</f>
        <v>31.781551198095585</v>
      </c>
      <c r="N51" s="248">
        <f>+'OLD...Tabs'!D427</f>
        <v>0</v>
      </c>
      <c r="O51" s="174">
        <f>+'OLD...Tabs'!D457</f>
        <v>0</v>
      </c>
      <c r="P51" s="247">
        <f>+'OLD...Tabs'!D397</f>
        <v>0</v>
      </c>
    </row>
    <row r="52" spans="1:16" s="139" customFormat="1">
      <c r="A52" s="139" t="s">
        <v>633</v>
      </c>
      <c r="B52" s="245">
        <f>+'OLD...Tabs'!D59</f>
        <v>13.192172275444198</v>
      </c>
      <c r="C52" s="245">
        <f>+'OLD...Tabs'!D90</f>
        <v>0</v>
      </c>
      <c r="D52" s="245">
        <f>+'OLD...Tabs'!D120</f>
        <v>19.382364397701817</v>
      </c>
      <c r="E52" s="245">
        <f>+'OLD...Tabs'!D151</f>
        <v>0</v>
      </c>
      <c r="F52" s="245">
        <f>+'OLD...Tabs'!D182</f>
        <v>19.196359764043212</v>
      </c>
      <c r="G52" s="245">
        <f>+'OLD...Tabs'!D212</f>
        <v>29.1915645431732</v>
      </c>
      <c r="H52" s="247">
        <f>+'OLD...Tabs'!D27</f>
        <v>17.799558890804267</v>
      </c>
      <c r="I52" s="247">
        <f>+'OLD...Tabs'!D274</f>
        <v>36.779535572208339</v>
      </c>
      <c r="J52" s="245">
        <f>+'OLD...Tabs'!D305</f>
        <v>0</v>
      </c>
      <c r="K52" s="245">
        <f>+'OLD...Tabs'!D336</f>
        <v>22.939331344197079</v>
      </c>
      <c r="L52" s="245">
        <f>+'OLD...Tabs'!D367</f>
        <v>34.919583949660719</v>
      </c>
      <c r="M52" s="262">
        <f>+'OLD...Tabs'!D243</f>
        <v>33.214084028268935</v>
      </c>
      <c r="N52" s="248">
        <f>+'OLD...Tabs'!D428</f>
        <v>0</v>
      </c>
      <c r="O52" s="174">
        <f>+'OLD...Tabs'!D458</f>
        <v>0</v>
      </c>
      <c r="P52" s="247">
        <f>+'OLD...Tabs'!D398</f>
        <v>0</v>
      </c>
    </row>
    <row r="53" spans="1:16" ht="24" customHeight="1">
      <c r="A53" s="495" t="s">
        <v>761</v>
      </c>
      <c r="B53" s="495"/>
      <c r="C53" s="495"/>
      <c r="D53" s="495"/>
      <c r="E53" s="495"/>
      <c r="F53" s="495"/>
      <c r="G53" s="495"/>
      <c r="H53" s="495"/>
      <c r="I53" s="495"/>
      <c r="J53" s="495"/>
      <c r="K53" s="495"/>
      <c r="L53" s="495"/>
      <c r="M53" s="495"/>
      <c r="N53" s="495"/>
      <c r="O53" s="495"/>
      <c r="P53" s="495"/>
    </row>
    <row r="54" spans="1:16" ht="23.25" customHeight="1">
      <c r="A54" s="492" t="s">
        <v>687</v>
      </c>
      <c r="B54" s="493"/>
      <c r="C54" s="493"/>
      <c r="D54" s="493"/>
      <c r="E54" s="493"/>
      <c r="F54" s="493"/>
      <c r="G54" s="493"/>
      <c r="H54" s="493"/>
      <c r="I54" s="493"/>
      <c r="J54" s="493"/>
      <c r="K54" s="493"/>
      <c r="L54" s="493"/>
      <c r="M54" s="493"/>
      <c r="N54" s="493"/>
      <c r="O54" s="493"/>
      <c r="P54" s="493"/>
    </row>
    <row r="55" spans="1:16">
      <c r="A55" s="186"/>
      <c r="B55" s="186"/>
      <c r="C55" s="186"/>
      <c r="D55" s="186"/>
      <c r="E55" s="186"/>
      <c r="F55" s="186"/>
      <c r="G55" s="186"/>
      <c r="H55" s="186"/>
      <c r="I55" s="186"/>
      <c r="J55" s="186"/>
      <c r="K55" s="186"/>
      <c r="L55" s="186"/>
      <c r="M55" s="256"/>
      <c r="N55" s="186"/>
      <c r="O55" s="186"/>
      <c r="P55" s="192" t="s">
        <v>897</v>
      </c>
    </row>
    <row r="56" spans="1:16" s="240" customFormat="1" ht="18">
      <c r="A56" s="134" t="s">
        <v>688</v>
      </c>
      <c r="B56" s="135"/>
      <c r="C56" s="135"/>
      <c r="D56" s="135"/>
      <c r="E56" s="135"/>
      <c r="F56" s="135"/>
      <c r="G56" s="229"/>
      <c r="H56" s="229"/>
      <c r="I56" s="263" t="s">
        <v>533</v>
      </c>
      <c r="J56" s="264"/>
      <c r="K56" s="264"/>
      <c r="L56" s="264"/>
      <c r="M56" s="264"/>
      <c r="N56" s="67"/>
      <c r="O56" s="67"/>
      <c r="P56" s="67"/>
    </row>
    <row r="57" spans="1:16" s="244" customFormat="1" ht="13">
      <c r="A57" s="140"/>
      <c r="B57" s="136"/>
      <c r="C57" s="136"/>
      <c r="D57" s="136"/>
      <c r="E57" s="136"/>
      <c r="F57" s="136"/>
      <c r="G57" s="136"/>
      <c r="H57" s="136"/>
      <c r="I57" s="265"/>
      <c r="J57" s="265"/>
      <c r="K57" s="265"/>
      <c r="L57" s="265"/>
      <c r="M57" s="265"/>
      <c r="N57" s="139"/>
      <c r="O57" s="139"/>
      <c r="P57" s="139"/>
    </row>
    <row r="58" spans="1:16" ht="15" customHeight="1">
      <c r="A58" s="231" t="s">
        <v>689</v>
      </c>
      <c r="B58" s="135"/>
      <c r="C58" s="135"/>
      <c r="D58" s="135"/>
      <c r="E58" s="135"/>
      <c r="F58" s="135"/>
      <c r="G58" s="229"/>
      <c r="H58" s="229"/>
      <c r="I58" s="263" t="s">
        <v>533</v>
      </c>
      <c r="J58" s="264"/>
      <c r="K58" s="264"/>
      <c r="L58" s="264"/>
      <c r="M58" s="264"/>
    </row>
    <row r="59" spans="1:16" ht="15.75" customHeight="1">
      <c r="A59" s="231" t="s">
        <v>690</v>
      </c>
      <c r="B59" s="136"/>
      <c r="C59" s="136"/>
      <c r="D59" s="136"/>
      <c r="E59" s="136"/>
      <c r="F59" s="136"/>
      <c r="G59" s="229"/>
      <c r="H59" s="229"/>
      <c r="I59" s="263" t="s">
        <v>533</v>
      </c>
      <c r="J59" s="264"/>
      <c r="K59" s="264"/>
      <c r="L59" s="264"/>
      <c r="M59" s="264"/>
    </row>
    <row r="60" spans="1:16" ht="15.75" customHeight="1">
      <c r="A60" s="231" t="s">
        <v>746</v>
      </c>
      <c r="B60" s="136"/>
      <c r="C60" s="136"/>
      <c r="D60" s="136"/>
      <c r="E60" s="136"/>
      <c r="F60" s="136"/>
      <c r="G60" s="229"/>
      <c r="H60" s="229"/>
      <c r="I60" s="263" t="s">
        <v>533</v>
      </c>
      <c r="J60" s="264"/>
      <c r="K60" s="264"/>
      <c r="L60" s="264"/>
      <c r="M60" s="264"/>
    </row>
    <row r="61" spans="1:16" ht="15.75" customHeight="1">
      <c r="A61" s="266"/>
      <c r="B61" s="267"/>
      <c r="C61" s="267"/>
      <c r="D61" s="267"/>
      <c r="E61" s="267"/>
      <c r="F61" s="267"/>
      <c r="G61" s="267"/>
      <c r="H61" s="267"/>
    </row>
    <row r="62" spans="1:16" ht="15.75" customHeight="1">
      <c r="A62" s="235"/>
      <c r="B62" s="236" t="s">
        <v>517</v>
      </c>
      <c r="C62" s="236"/>
      <c r="D62" s="236"/>
      <c r="E62" s="236"/>
      <c r="F62" s="236"/>
      <c r="G62" s="236"/>
      <c r="H62" s="236"/>
      <c r="I62" s="244"/>
      <c r="J62" s="244"/>
      <c r="K62" s="244"/>
      <c r="L62" s="244"/>
      <c r="M62" s="244"/>
      <c r="N62" s="240"/>
      <c r="O62" s="240"/>
      <c r="P62" s="240"/>
    </row>
    <row r="63" spans="1:16" ht="15.75" customHeight="1">
      <c r="A63" s="241"/>
      <c r="B63" s="236">
        <v>1</v>
      </c>
      <c r="C63" s="236">
        <v>2</v>
      </c>
      <c r="D63" s="236">
        <v>3</v>
      </c>
      <c r="E63" s="236">
        <v>4</v>
      </c>
      <c r="F63" s="236">
        <v>5</v>
      </c>
      <c r="G63" s="236">
        <v>6</v>
      </c>
      <c r="H63" s="237" t="s">
        <v>683</v>
      </c>
      <c r="I63" s="244"/>
      <c r="J63" s="244"/>
      <c r="K63" s="244"/>
      <c r="L63" s="244"/>
      <c r="M63" s="244"/>
      <c r="N63" s="244"/>
      <c r="O63" s="244"/>
      <c r="P63" s="244"/>
    </row>
    <row r="64" spans="1:16" ht="15.75" customHeight="1">
      <c r="A64" s="139" t="s">
        <v>618</v>
      </c>
      <c r="B64" s="268">
        <f>+'OLD...Tabs'!J41+'OLD...Tabs'!K41</f>
        <v>73.860463716201465</v>
      </c>
      <c r="C64" s="268">
        <f>+'OLD...Tabs'!J72+'OLD...Tabs'!K72</f>
        <v>67.262516970420037</v>
      </c>
      <c r="D64" s="268">
        <f>+'OLD...Tabs'!J102+'OLD...Tabs'!K102</f>
        <v>40.620737922618616</v>
      </c>
      <c r="E64" s="268">
        <f>+'OLD...Tabs'!J133+'OLD...Tabs'!K133</f>
        <v>14.154523670746713</v>
      </c>
      <c r="F64" s="268">
        <f>+'OLD...Tabs'!J164+'OLD...Tabs'!K164</f>
        <v>79.56754944686557</v>
      </c>
      <c r="G64" s="268">
        <f>+'OLD...Tabs'!J194+'OLD...Tabs'!K194</f>
        <v>0.6211180124223602</v>
      </c>
      <c r="H64" s="249">
        <f>+'OLD...Tabs'!J9+'OLD...Tabs'!K9</f>
        <v>56.696922649751478</v>
      </c>
      <c r="I64" s="269"/>
      <c r="J64" s="270"/>
      <c r="K64" s="270"/>
      <c r="L64" s="270"/>
      <c r="M64" s="270"/>
    </row>
    <row r="65" spans="1:16" ht="15.75" customHeight="1">
      <c r="A65" s="139" t="s">
        <v>619</v>
      </c>
      <c r="B65" s="245">
        <f>+'OLD...Tabs'!J42+'OLD...Tabs'!K42</f>
        <v>67.304015296367112</v>
      </c>
      <c r="C65" s="245">
        <f>+'OLD...Tabs'!J73+'OLD...Tabs'!K73</f>
        <v>71.314029028908152</v>
      </c>
      <c r="D65" s="245">
        <f>+'OLD...Tabs'!J103+'OLD...Tabs'!K103</f>
        <v>30.049032122914173</v>
      </c>
      <c r="E65" s="245">
        <f>+'OLD...Tabs'!J134+'OLD...Tabs'!K134</f>
        <v>19.07626072366963</v>
      </c>
      <c r="F65" s="245">
        <f>+'OLD...Tabs'!J165+'OLD...Tabs'!K165</f>
        <v>0</v>
      </c>
      <c r="G65" s="245">
        <f>+'OLD...Tabs'!J195+'OLD...Tabs'!K195</f>
        <v>60.272684532204977</v>
      </c>
      <c r="H65" s="247">
        <f>+'OLD...Tabs'!J10+'OLD...Tabs'!K10</f>
        <v>51.914488694730693</v>
      </c>
      <c r="I65" s="269"/>
      <c r="J65" s="270"/>
      <c r="K65" s="270"/>
      <c r="L65" s="270"/>
      <c r="M65" s="270"/>
    </row>
    <row r="66" spans="1:16" ht="15.75" customHeight="1">
      <c r="A66" s="139" t="s">
        <v>620</v>
      </c>
      <c r="B66" s="245">
        <f>+'OLD...Tabs'!J43+'OLD...Tabs'!K43</f>
        <v>85.115691489361694</v>
      </c>
      <c r="C66" s="245">
        <f>+'OLD...Tabs'!J74+'OLD...Tabs'!K74</f>
        <v>0</v>
      </c>
      <c r="D66" s="245">
        <f>+'OLD...Tabs'!J104+'OLD...Tabs'!K104</f>
        <v>67.651525610934698</v>
      </c>
      <c r="E66" s="245">
        <f>+'OLD...Tabs'!J135+'OLD...Tabs'!K135</f>
        <v>0</v>
      </c>
      <c r="F66" s="245">
        <f>+'OLD...Tabs'!J166+'OLD...Tabs'!K166</f>
        <v>0</v>
      </c>
      <c r="G66" s="245">
        <f>+'OLD...Tabs'!J196+'OLD...Tabs'!K196</f>
        <v>0</v>
      </c>
      <c r="H66" s="247">
        <f>+'OLD...Tabs'!J11+'OLD...Tabs'!K11</f>
        <v>83.58138350132819</v>
      </c>
      <c r="I66" s="269"/>
      <c r="J66" s="270"/>
      <c r="K66" s="270"/>
      <c r="L66" s="270"/>
      <c r="M66" s="270"/>
    </row>
    <row r="67" spans="1:16" ht="15.75" customHeight="1">
      <c r="A67" s="139" t="s">
        <v>621</v>
      </c>
      <c r="B67" s="245">
        <f>+'OLD...Tabs'!J44+'OLD...Tabs'!K44</f>
        <v>0</v>
      </c>
      <c r="C67" s="245">
        <f>+'OLD...Tabs'!J75+'OLD...Tabs'!K75</f>
        <v>0</v>
      </c>
      <c r="D67" s="245">
        <f>+'OLD...Tabs'!J105+'OLD...Tabs'!K105</f>
        <v>0</v>
      </c>
      <c r="E67" s="245">
        <f>+'OLD...Tabs'!J136+'OLD...Tabs'!K136</f>
        <v>0</v>
      </c>
      <c r="F67" s="245">
        <f>+'OLD...Tabs'!J167+'OLD...Tabs'!K167</f>
        <v>0</v>
      </c>
      <c r="G67" s="245">
        <f>+'OLD...Tabs'!J197+'OLD...Tabs'!K197</f>
        <v>0</v>
      </c>
      <c r="H67" s="247">
        <f>+'OLD...Tabs'!J12+'OLD...Tabs'!K12</f>
        <v>0</v>
      </c>
      <c r="I67" s="269"/>
      <c r="J67" s="270"/>
      <c r="K67" s="270"/>
      <c r="L67" s="270"/>
      <c r="M67" s="270"/>
    </row>
    <row r="68" spans="1:16" ht="15.75" customHeight="1">
      <c r="A68" s="139"/>
      <c r="B68" s="245"/>
      <c r="C68" s="245"/>
      <c r="D68" s="245"/>
      <c r="E68" s="245"/>
      <c r="F68" s="245"/>
      <c r="G68" s="245"/>
      <c r="H68" s="247"/>
      <c r="I68" s="269"/>
      <c r="J68" s="270"/>
      <c r="K68" s="270"/>
      <c r="L68" s="270"/>
      <c r="M68" s="270"/>
    </row>
    <row r="69" spans="1:16" ht="15.75" customHeight="1">
      <c r="A69" s="139" t="s">
        <v>622</v>
      </c>
      <c r="B69" s="245">
        <f>+'OLD...Tabs'!J46+'OLD...Tabs'!K46</f>
        <v>93.069649063743228</v>
      </c>
      <c r="C69" s="245">
        <f>+'OLD...Tabs'!J77+'OLD...Tabs'!K77</f>
        <v>66.802294725669086</v>
      </c>
      <c r="D69" s="245">
        <f>+'OLD...Tabs'!J107+'OLD...Tabs'!K107</f>
        <v>30.345069696765776</v>
      </c>
      <c r="E69" s="245">
        <f>+'OLD...Tabs'!J138+'OLD...Tabs'!K138</f>
        <v>76.033452069649485</v>
      </c>
      <c r="F69" s="245">
        <f>+'OLD...Tabs'!J169+'OLD...Tabs'!K169</f>
        <v>54.216541556772846</v>
      </c>
      <c r="G69" s="245">
        <f>+'OLD...Tabs'!J199+'OLD...Tabs'!K199</f>
        <v>0</v>
      </c>
      <c r="H69" s="247">
        <f>+'OLD...Tabs'!J14+'OLD...Tabs'!K14</f>
        <v>72.550546255370762</v>
      </c>
      <c r="I69" s="269"/>
      <c r="J69" s="270"/>
      <c r="K69" s="270"/>
      <c r="L69" s="270"/>
      <c r="M69" s="270"/>
    </row>
    <row r="70" spans="1:16" ht="15.75" customHeight="1">
      <c r="A70" s="139" t="s">
        <v>623</v>
      </c>
      <c r="B70" s="245">
        <f>+'OLD...Tabs'!J47+'OLD...Tabs'!K47</f>
        <v>72.397743820390403</v>
      </c>
      <c r="C70" s="245">
        <f>+'OLD...Tabs'!J78+'OLD...Tabs'!K78</f>
        <v>0</v>
      </c>
      <c r="D70" s="245">
        <f>+'OLD...Tabs'!J108+'OLD...Tabs'!K108</f>
        <v>39.920967392369292</v>
      </c>
      <c r="E70" s="245">
        <f>+'OLD...Tabs'!J139+'OLD...Tabs'!K139</f>
        <v>72.528433945756774</v>
      </c>
      <c r="F70" s="245">
        <f>+'OLD...Tabs'!J170+'OLD...Tabs'!K170</f>
        <v>0</v>
      </c>
      <c r="G70" s="245">
        <f>+'OLD...Tabs'!J200+'OLD...Tabs'!K200</f>
        <v>0</v>
      </c>
      <c r="H70" s="247">
        <f>+'OLD...Tabs'!J15+'OLD...Tabs'!K15</f>
        <v>55.967633884985233</v>
      </c>
      <c r="I70" s="269"/>
      <c r="J70" s="270"/>
      <c r="K70" s="270"/>
      <c r="L70" s="270"/>
      <c r="M70" s="270"/>
    </row>
    <row r="71" spans="1:16" ht="15.75" customHeight="1">
      <c r="A71" s="139" t="s">
        <v>624</v>
      </c>
      <c r="B71" s="245">
        <f>+'OLD...Tabs'!J48+'OLD...Tabs'!K48</f>
        <v>92.662514597119554</v>
      </c>
      <c r="C71" s="245">
        <f>+'OLD...Tabs'!J79+'OLD...Tabs'!K79</f>
        <v>79.261582929475878</v>
      </c>
      <c r="D71" s="245">
        <f>+'OLD...Tabs'!J109+'OLD...Tabs'!K109</f>
        <v>55.141201916664151</v>
      </c>
      <c r="E71" s="245">
        <f>+'OLD...Tabs'!J140+'OLD...Tabs'!K140</f>
        <v>31.247243681149843</v>
      </c>
      <c r="F71" s="245">
        <f>+'OLD...Tabs'!J171+'OLD...Tabs'!K171</f>
        <v>73.103448275862064</v>
      </c>
      <c r="G71" s="245">
        <f>+'OLD...Tabs'!J201+'OLD...Tabs'!K201</f>
        <v>0</v>
      </c>
      <c r="H71" s="247">
        <f>+'OLD...Tabs'!J16+'OLD...Tabs'!K16</f>
        <v>65.388391040216803</v>
      </c>
      <c r="I71" s="269"/>
      <c r="J71" s="270"/>
      <c r="K71" s="270"/>
      <c r="L71" s="270"/>
      <c r="M71" s="270"/>
    </row>
    <row r="72" spans="1:16" ht="15.75" customHeight="1">
      <c r="A72" s="139" t="s">
        <v>625</v>
      </c>
      <c r="B72" s="245">
        <f>+'OLD...Tabs'!J49+'OLD...Tabs'!K49</f>
        <v>87.018940843097724</v>
      </c>
      <c r="C72" s="245">
        <f>+'OLD...Tabs'!J80+'OLD...Tabs'!K80</f>
        <v>77.426302328711813</v>
      </c>
      <c r="D72" s="245">
        <f>+'OLD...Tabs'!J110+'OLD...Tabs'!K110</f>
        <v>75.401886891899025</v>
      </c>
      <c r="E72" s="245">
        <f>+'OLD...Tabs'!J141+'OLD...Tabs'!K141</f>
        <v>59.562804025360116</v>
      </c>
      <c r="F72" s="245">
        <f>+'OLD...Tabs'!J172+'OLD...Tabs'!K172</f>
        <v>86.408189936832926</v>
      </c>
      <c r="G72" s="245">
        <f>+'OLD...Tabs'!J202+'OLD...Tabs'!K202</f>
        <v>100</v>
      </c>
      <c r="H72" s="247">
        <f>+'OLD...Tabs'!J17+'OLD...Tabs'!K17</f>
        <v>52.784318439286565</v>
      </c>
      <c r="I72" s="269"/>
      <c r="J72" s="270"/>
      <c r="K72" s="270"/>
      <c r="L72" s="270"/>
      <c r="M72" s="270"/>
    </row>
    <row r="73" spans="1:16" ht="15.75" customHeight="1">
      <c r="A73" s="139"/>
      <c r="B73" s="245"/>
      <c r="C73" s="245"/>
      <c r="D73" s="245"/>
      <c r="E73" s="245"/>
      <c r="F73" s="245"/>
      <c r="G73" s="245"/>
      <c r="H73" s="247"/>
      <c r="I73" s="269"/>
      <c r="J73" s="270"/>
      <c r="K73" s="270"/>
      <c r="L73" s="270"/>
      <c r="M73" s="270"/>
    </row>
    <row r="74" spans="1:16" ht="15.75" customHeight="1">
      <c r="A74" s="139" t="s">
        <v>626</v>
      </c>
      <c r="B74" s="245">
        <f>+'OLD...Tabs'!J51+'OLD...Tabs'!K51</f>
        <v>75.614296567362388</v>
      </c>
      <c r="C74" s="245">
        <f>+'OLD...Tabs'!J82+'OLD...Tabs'!K82</f>
        <v>45.899707001650228</v>
      </c>
      <c r="D74" s="245">
        <f>+'OLD...Tabs'!J112+'OLD...Tabs'!K112</f>
        <v>0</v>
      </c>
      <c r="E74" s="245">
        <f>+'OLD...Tabs'!J143+'OLD...Tabs'!K143</f>
        <v>24.500075861022609</v>
      </c>
      <c r="F74" s="245">
        <f>+'OLD...Tabs'!J174+'OLD...Tabs'!K174</f>
        <v>0</v>
      </c>
      <c r="G74" s="245">
        <f>+'OLD...Tabs'!J204+'OLD...Tabs'!K204</f>
        <v>0</v>
      </c>
      <c r="H74" s="247">
        <f>+'OLD...Tabs'!J19+'OLD...Tabs'!K19</f>
        <v>64.69557301525856</v>
      </c>
      <c r="I74" s="269"/>
      <c r="J74" s="270"/>
      <c r="K74" s="270"/>
      <c r="L74" s="270"/>
      <c r="M74" s="270"/>
    </row>
    <row r="75" spans="1:16" ht="15.75" customHeight="1">
      <c r="A75" s="139" t="s">
        <v>627</v>
      </c>
      <c r="B75" s="245">
        <f>+'OLD...Tabs'!J52+'OLD...Tabs'!K52</f>
        <v>80.026308083014484</v>
      </c>
      <c r="C75" s="245">
        <f>+'OLD...Tabs'!J83+'OLD...Tabs'!K83</f>
        <v>37.831048918965415</v>
      </c>
      <c r="D75" s="245">
        <f>+'OLD...Tabs'!J113+'OLD...Tabs'!K113</f>
        <v>58.167644689909096</v>
      </c>
      <c r="E75" s="245">
        <f>+'OLD...Tabs'!J144+'OLD...Tabs'!K144</f>
        <v>33.289161668294042</v>
      </c>
      <c r="F75" s="245">
        <f>+'OLD...Tabs'!J175+'OLD...Tabs'!K175</f>
        <v>37.590405014464807</v>
      </c>
      <c r="G75" s="245">
        <f>+'OLD...Tabs'!J205+'OLD...Tabs'!K205</f>
        <v>42.470506592644</v>
      </c>
      <c r="H75" s="247">
        <f>+'OLD...Tabs'!J20+'OLD...Tabs'!K20</f>
        <v>68.600221079214052</v>
      </c>
      <c r="I75" s="269"/>
      <c r="J75" s="270"/>
      <c r="K75" s="270"/>
      <c r="L75" s="270"/>
      <c r="M75" s="270"/>
    </row>
    <row r="76" spans="1:16" ht="15.75" customHeight="1">
      <c r="A76" s="139" t="s">
        <v>628</v>
      </c>
      <c r="B76" s="245">
        <f>+'OLD...Tabs'!J53+'OLD...Tabs'!K53</f>
        <v>0</v>
      </c>
      <c r="C76" s="245">
        <f>+'OLD...Tabs'!J84+'OLD...Tabs'!K84</f>
        <v>0</v>
      </c>
      <c r="D76" s="245">
        <f>+'OLD...Tabs'!J114+'OLD...Tabs'!K114</f>
        <v>0</v>
      </c>
      <c r="E76" s="245">
        <f>+'OLD...Tabs'!J145+'OLD...Tabs'!K145</f>
        <v>0</v>
      </c>
      <c r="F76" s="245">
        <f>+'OLD...Tabs'!J176+'OLD...Tabs'!K176</f>
        <v>0</v>
      </c>
      <c r="G76" s="245">
        <f>+'OLD...Tabs'!J206+'OLD...Tabs'!K206</f>
        <v>0</v>
      </c>
      <c r="H76" s="247">
        <f>+'OLD...Tabs'!J21+'OLD...Tabs'!K21</f>
        <v>0</v>
      </c>
      <c r="I76" s="269"/>
      <c r="J76" s="270"/>
      <c r="K76" s="270"/>
      <c r="L76" s="270"/>
      <c r="M76" s="270"/>
    </row>
    <row r="77" spans="1:16" s="186" customFormat="1">
      <c r="A77" s="139" t="s">
        <v>629</v>
      </c>
      <c r="B77" s="245">
        <f>+'OLD...Tabs'!J54+'OLD...Tabs'!K54</f>
        <v>75.881065358228909</v>
      </c>
      <c r="C77" s="245">
        <f>+'OLD...Tabs'!J85+'OLD...Tabs'!K85</f>
        <v>0</v>
      </c>
      <c r="D77" s="245">
        <f>+'OLD...Tabs'!J115+'OLD...Tabs'!K115</f>
        <v>59.031718746320671</v>
      </c>
      <c r="E77" s="245">
        <f>+'OLD...Tabs'!J146+'OLD...Tabs'!K146</f>
        <v>53.110938712179987</v>
      </c>
      <c r="F77" s="245">
        <f>+'OLD...Tabs'!J177+'OLD...Tabs'!K177</f>
        <v>64.680632968159387</v>
      </c>
      <c r="G77" s="245">
        <f>+'OLD...Tabs'!J207+'OLD...Tabs'!K207</f>
        <v>42.679127725856695</v>
      </c>
      <c r="H77" s="247">
        <f>+'OLD...Tabs'!J22+'OLD...Tabs'!K22</f>
        <v>71.333376354826314</v>
      </c>
      <c r="I77" s="269"/>
      <c r="J77" s="270"/>
      <c r="K77" s="270"/>
      <c r="L77" s="270"/>
      <c r="M77" s="270"/>
      <c r="N77" s="67"/>
      <c r="O77" s="67"/>
      <c r="P77" s="67"/>
    </row>
    <row r="78" spans="1:16" s="186" customFormat="1" ht="27.75" customHeight="1">
      <c r="A78" s="139"/>
      <c r="B78" s="245"/>
      <c r="C78" s="245"/>
      <c r="D78" s="245"/>
      <c r="E78" s="245"/>
      <c r="F78" s="245"/>
      <c r="G78" s="245"/>
      <c r="H78" s="247"/>
      <c r="I78" s="269"/>
      <c r="J78" s="270"/>
      <c r="K78" s="270"/>
      <c r="L78" s="270"/>
      <c r="M78" s="270"/>
      <c r="N78" s="67"/>
      <c r="O78" s="67"/>
      <c r="P78" s="67"/>
    </row>
    <row r="79" spans="1:16" s="186" customFormat="1">
      <c r="A79" s="139" t="s">
        <v>630</v>
      </c>
      <c r="B79" s="245">
        <f>+'OLD...Tabs'!J56+'OLD...Tabs'!K56</f>
        <v>66.615556085273056</v>
      </c>
      <c r="C79" s="245">
        <f>+'OLD...Tabs'!J87+'OLD...Tabs'!K87</f>
        <v>52.746744741505509</v>
      </c>
      <c r="D79" s="245">
        <f>+'OLD...Tabs'!J117+'OLD...Tabs'!K117</f>
        <v>38.793200314621892</v>
      </c>
      <c r="E79" s="245">
        <f>+'OLD...Tabs'!J148+'OLD...Tabs'!K148</f>
        <v>9.6674057649667411</v>
      </c>
      <c r="F79" s="245">
        <f>+'OLD...Tabs'!J179+'OLD...Tabs'!K179</f>
        <v>0</v>
      </c>
      <c r="G79" s="245">
        <f>+'OLD...Tabs'!J209+'OLD...Tabs'!K209</f>
        <v>0</v>
      </c>
      <c r="H79" s="247">
        <f>+'OLD...Tabs'!J24+'OLD...Tabs'!K24</f>
        <v>55.77011578328198</v>
      </c>
      <c r="I79" s="269"/>
      <c r="J79" s="270"/>
      <c r="K79" s="270"/>
      <c r="L79" s="270"/>
      <c r="M79" s="270"/>
      <c r="N79" s="67"/>
      <c r="O79" s="67"/>
      <c r="P79" s="67"/>
    </row>
    <row r="80" spans="1:16">
      <c r="A80" s="139" t="s">
        <v>631</v>
      </c>
      <c r="B80" s="245">
        <f>+'OLD...Tabs'!J57+'OLD...Tabs'!K57</f>
        <v>0</v>
      </c>
      <c r="C80" s="245">
        <f>+'OLD...Tabs'!J88+'OLD...Tabs'!K88</f>
        <v>0</v>
      </c>
      <c r="D80" s="245">
        <f>+'OLD...Tabs'!J118+'OLD...Tabs'!K118</f>
        <v>0</v>
      </c>
      <c r="E80" s="245">
        <f>+'OLD...Tabs'!J149+'OLD...Tabs'!K149</f>
        <v>0</v>
      </c>
      <c r="F80" s="245">
        <f>+'OLD...Tabs'!J180+'OLD...Tabs'!K180</f>
        <v>0</v>
      </c>
      <c r="G80" s="245">
        <f>+'OLD...Tabs'!J210+'OLD...Tabs'!K210</f>
        <v>0</v>
      </c>
      <c r="H80" s="247">
        <f>+'OLD...Tabs'!J25+'OLD...Tabs'!K25</f>
        <v>0</v>
      </c>
      <c r="I80" s="269"/>
      <c r="J80" s="270"/>
      <c r="K80" s="270"/>
      <c r="L80" s="270"/>
      <c r="M80" s="270"/>
    </row>
    <row r="81" spans="1:16" s="139" customFormat="1">
      <c r="A81" s="139" t="s">
        <v>632</v>
      </c>
      <c r="B81" s="245">
        <f>+'OLD...Tabs'!J58+'OLD...Tabs'!K58</f>
        <v>83.122061028414322</v>
      </c>
      <c r="C81" s="245">
        <f>+'OLD...Tabs'!J89+'OLD...Tabs'!K89</f>
        <v>84.177606306577147</v>
      </c>
      <c r="D81" s="245">
        <f>+'OLD...Tabs'!J119+'OLD...Tabs'!K119</f>
        <v>69.501102151287711</v>
      </c>
      <c r="E81" s="245">
        <f>+'OLD...Tabs'!J150+'OLD...Tabs'!K150</f>
        <v>77.870913663034358</v>
      </c>
      <c r="F81" s="245">
        <f>+'OLD...Tabs'!J181+'OLD...Tabs'!K181</f>
        <v>61.712830308818852</v>
      </c>
      <c r="G81" s="245">
        <f>+'OLD...Tabs'!J211+'OLD...Tabs'!K211</f>
        <v>0</v>
      </c>
      <c r="H81" s="247">
        <f>+'OLD...Tabs'!J26+'OLD...Tabs'!K26</f>
        <v>81.558783663992045</v>
      </c>
      <c r="I81" s="269"/>
      <c r="J81" s="270"/>
      <c r="K81" s="270"/>
      <c r="L81" s="270"/>
      <c r="M81" s="270"/>
      <c r="N81" s="67"/>
      <c r="O81" s="67"/>
      <c r="P81" s="67"/>
    </row>
    <row r="82" spans="1:16">
      <c r="A82" s="145" t="s">
        <v>633</v>
      </c>
      <c r="B82" s="251">
        <f>+'OLD...Tabs'!J59+'OLD...Tabs'!K59</f>
        <v>70.360806755530746</v>
      </c>
      <c r="C82" s="251">
        <f>+'OLD...Tabs'!J90+'OLD...Tabs'!K90</f>
        <v>0</v>
      </c>
      <c r="D82" s="251">
        <f>+'OLD...Tabs'!J120+'OLD...Tabs'!K120</f>
        <v>67.136150234741791</v>
      </c>
      <c r="E82" s="251">
        <f>+'OLD...Tabs'!J151+'OLD...Tabs'!K151</f>
        <v>0</v>
      </c>
      <c r="F82" s="251">
        <f>+'OLD...Tabs'!J182+'OLD...Tabs'!K182</f>
        <v>42.712980207024991</v>
      </c>
      <c r="G82" s="251">
        <f>+'OLD...Tabs'!J212+'OLD...Tabs'!K212</f>
        <v>74.080198429102936</v>
      </c>
      <c r="H82" s="253">
        <f>+'OLD...Tabs'!J27+'OLD...Tabs'!K27</f>
        <v>65.602967827702372</v>
      </c>
      <c r="I82" s="269"/>
      <c r="J82" s="270"/>
      <c r="K82" s="270"/>
      <c r="L82" s="270"/>
      <c r="M82" s="270"/>
    </row>
    <row r="83" spans="1:16" ht="40.5" customHeight="1">
      <c r="A83" s="494" t="s">
        <v>762</v>
      </c>
      <c r="B83" s="494"/>
      <c r="C83" s="494"/>
      <c r="D83" s="494"/>
      <c r="E83" s="494"/>
      <c r="F83" s="494"/>
      <c r="G83" s="494"/>
      <c r="H83" s="494"/>
      <c r="I83" s="186"/>
      <c r="J83" s="186"/>
      <c r="K83" s="186"/>
      <c r="L83" s="186"/>
      <c r="M83" s="186"/>
      <c r="N83" s="186"/>
      <c r="O83" s="186"/>
      <c r="P83" s="186"/>
    </row>
    <row r="84" spans="1:16" s="244" customFormat="1" ht="13">
      <c r="A84" s="186"/>
      <c r="B84" s="186"/>
      <c r="C84" s="186"/>
      <c r="D84" s="186"/>
      <c r="E84" s="186"/>
      <c r="F84" s="186"/>
      <c r="G84" s="186"/>
      <c r="H84" s="192" t="s">
        <v>897</v>
      </c>
      <c r="I84" s="186"/>
      <c r="J84" s="186"/>
      <c r="K84" s="186"/>
      <c r="L84" s="186"/>
      <c r="M84" s="186"/>
      <c r="N84" s="186"/>
      <c r="O84" s="186"/>
      <c r="P84" s="186"/>
    </row>
    <row r="85" spans="1:16" s="244" customFormat="1" ht="18">
      <c r="A85" s="134" t="s">
        <v>691</v>
      </c>
      <c r="B85" s="135"/>
      <c r="C85" s="135"/>
      <c r="D85" s="135"/>
      <c r="E85" s="135"/>
      <c r="F85" s="135"/>
      <c r="G85" s="229"/>
      <c r="H85" s="229"/>
      <c r="I85" s="263"/>
      <c r="J85" s="264"/>
      <c r="K85" s="264"/>
      <c r="L85" s="264"/>
      <c r="M85" s="264"/>
      <c r="N85" s="67"/>
      <c r="O85" s="67"/>
      <c r="P85" s="67"/>
    </row>
    <row r="86" spans="1:16" ht="11.25" customHeight="1">
      <c r="A86" s="140"/>
      <c r="B86" s="136"/>
      <c r="C86" s="136"/>
      <c r="D86" s="136"/>
      <c r="E86" s="136"/>
      <c r="F86" s="136"/>
      <c r="G86" s="136"/>
      <c r="H86" s="136"/>
      <c r="I86" s="265"/>
      <c r="J86" s="265"/>
      <c r="K86" s="265"/>
      <c r="L86" s="265"/>
      <c r="M86" s="265"/>
      <c r="N86" s="139"/>
      <c r="O86" s="139"/>
      <c r="P86" s="139"/>
    </row>
    <row r="87" spans="1:16" ht="15.75" customHeight="1">
      <c r="A87" s="231" t="s">
        <v>692</v>
      </c>
      <c r="B87" s="135"/>
      <c r="C87" s="135"/>
      <c r="D87" s="135"/>
      <c r="E87" s="135"/>
      <c r="F87" s="135"/>
      <c r="G87" s="229"/>
      <c r="H87" s="229"/>
      <c r="I87" s="263"/>
      <c r="J87" s="264"/>
      <c r="K87" s="264"/>
      <c r="L87" s="264"/>
      <c r="M87" s="264"/>
    </row>
    <row r="88" spans="1:16" ht="15.75" customHeight="1">
      <c r="A88" s="231" t="s">
        <v>746</v>
      </c>
      <c r="B88" s="136"/>
      <c r="C88" s="136"/>
      <c r="D88" s="136"/>
      <c r="E88" s="136"/>
      <c r="F88" s="136"/>
      <c r="G88" s="229"/>
      <c r="H88" s="229"/>
      <c r="I88" s="263"/>
      <c r="J88" s="264"/>
      <c r="K88" s="264"/>
      <c r="L88" s="264"/>
      <c r="M88" s="264"/>
    </row>
    <row r="89" spans="1:16" ht="15.75" customHeight="1">
      <c r="A89" s="257"/>
      <c r="B89" s="265"/>
      <c r="C89" s="265"/>
      <c r="D89" s="265"/>
      <c r="E89" s="265"/>
      <c r="F89" s="265"/>
      <c r="G89" s="264"/>
      <c r="H89" s="264"/>
      <c r="I89" s="263"/>
      <c r="J89" s="264"/>
      <c r="K89" s="264"/>
      <c r="L89" s="264"/>
      <c r="M89" s="264"/>
    </row>
    <row r="90" spans="1:16" ht="15.75" customHeight="1">
      <c r="A90" s="241"/>
      <c r="B90" s="236" t="s">
        <v>517</v>
      </c>
      <c r="C90" s="236"/>
      <c r="D90" s="236"/>
      <c r="E90" s="236"/>
      <c r="F90" s="236"/>
      <c r="G90" s="236"/>
      <c r="H90" s="236"/>
      <c r="I90" s="244"/>
      <c r="J90" s="244"/>
      <c r="K90" s="244"/>
      <c r="L90" s="244"/>
      <c r="M90" s="244"/>
      <c r="N90" s="244"/>
      <c r="O90" s="244"/>
      <c r="P90" s="244"/>
    </row>
    <row r="91" spans="1:16" ht="15.75" customHeight="1">
      <c r="A91" s="241"/>
      <c r="B91" s="236">
        <v>1</v>
      </c>
      <c r="C91" s="236">
        <v>2</v>
      </c>
      <c r="D91" s="236">
        <v>3</v>
      </c>
      <c r="E91" s="236">
        <v>4</v>
      </c>
      <c r="F91" s="236">
        <v>5</v>
      </c>
      <c r="G91" s="236">
        <v>6</v>
      </c>
      <c r="H91" s="237" t="s">
        <v>683</v>
      </c>
      <c r="I91" s="244"/>
      <c r="J91" s="244"/>
      <c r="K91" s="244"/>
      <c r="L91" s="244"/>
      <c r="M91" s="244"/>
      <c r="N91" s="244"/>
      <c r="O91" s="244"/>
      <c r="P91" s="244"/>
    </row>
    <row r="92" spans="1:16">
      <c r="A92" s="139" t="s">
        <v>618</v>
      </c>
      <c r="B92" s="268">
        <f>+'OLD...Tabs'!L41</f>
        <v>26.139536283798527</v>
      </c>
      <c r="C92" s="268">
        <f>+'OLD...Tabs'!L72</f>
        <v>32.737483029579955</v>
      </c>
      <c r="D92" s="268">
        <f>+'OLD...Tabs'!L102</f>
        <v>59.37926207738137</v>
      </c>
      <c r="E92" s="268">
        <f>+'OLD...Tabs'!L133</f>
        <v>85.845476329253287</v>
      </c>
      <c r="F92" s="268">
        <f>+'OLD...Tabs'!L164</f>
        <v>20.43245055313443</v>
      </c>
      <c r="G92" s="268">
        <f>+'OLD...Tabs'!L194</f>
        <v>99.378881987577643</v>
      </c>
      <c r="H92" s="249">
        <f>+'OLD...Tabs'!L9</f>
        <v>43.303077350248529</v>
      </c>
      <c r="I92" s="269"/>
      <c r="J92" s="270"/>
      <c r="K92" s="270"/>
      <c r="L92" s="270"/>
      <c r="M92" s="270"/>
    </row>
    <row r="93" spans="1:16">
      <c r="A93" s="139" t="s">
        <v>619</v>
      </c>
      <c r="B93" s="245">
        <f>+'OLD...Tabs'!L42</f>
        <v>32.695984703632888</v>
      </c>
      <c r="C93" s="245">
        <f>+'OLD...Tabs'!L73</f>
        <v>28.685970971091844</v>
      </c>
      <c r="D93" s="245">
        <f>+'OLD...Tabs'!L103</f>
        <v>69.95096787708583</v>
      </c>
      <c r="E93" s="245">
        <f>+'OLD...Tabs'!L134</f>
        <v>80.923739276330366</v>
      </c>
      <c r="F93" s="245">
        <f>+'OLD...Tabs'!L165</f>
        <v>0</v>
      </c>
      <c r="G93" s="245">
        <f>+'OLD...Tabs'!L195</f>
        <v>39.727315467795016</v>
      </c>
      <c r="H93" s="247">
        <f>+'OLD...Tabs'!L10</f>
        <v>48.0855113052693</v>
      </c>
      <c r="I93" s="269"/>
      <c r="J93" s="270"/>
      <c r="K93" s="270"/>
      <c r="L93" s="270"/>
      <c r="M93" s="270"/>
    </row>
    <row r="94" spans="1:16">
      <c r="A94" s="139" t="s">
        <v>620</v>
      </c>
      <c r="B94" s="245">
        <f>+'OLD...Tabs'!L43</f>
        <v>14.884308510638297</v>
      </c>
      <c r="C94" s="245">
        <f>+'OLD...Tabs'!L74</f>
        <v>0</v>
      </c>
      <c r="D94" s="245">
        <f>+'OLD...Tabs'!L104</f>
        <v>32.348474389065309</v>
      </c>
      <c r="E94" s="245">
        <f>+'OLD...Tabs'!L135</f>
        <v>0</v>
      </c>
      <c r="F94" s="245">
        <f>+'OLD...Tabs'!L166</f>
        <v>0</v>
      </c>
      <c r="G94" s="245">
        <f>+'OLD...Tabs'!L196</f>
        <v>0</v>
      </c>
      <c r="H94" s="247">
        <f>+'OLD...Tabs'!L11</f>
        <v>16.41861649867181</v>
      </c>
      <c r="I94" s="269"/>
      <c r="J94" s="270"/>
      <c r="K94" s="270"/>
      <c r="L94" s="270"/>
      <c r="M94" s="270"/>
    </row>
    <row r="95" spans="1:16" ht="15.5">
      <c r="A95" s="139" t="s">
        <v>657</v>
      </c>
      <c r="B95" s="245">
        <f>+'OLD...Tabs'!L44</f>
        <v>0</v>
      </c>
      <c r="C95" s="245">
        <f>+'OLD...Tabs'!L75</f>
        <v>0</v>
      </c>
      <c r="D95" s="245">
        <f>+'OLD...Tabs'!L105</f>
        <v>0</v>
      </c>
      <c r="E95" s="245">
        <f>+'OLD...Tabs'!L136</f>
        <v>0</v>
      </c>
      <c r="F95" s="245">
        <f>+'OLD...Tabs'!L167</f>
        <v>0</v>
      </c>
      <c r="G95" s="245">
        <f>+'OLD...Tabs'!L197</f>
        <v>0</v>
      </c>
      <c r="H95" s="247">
        <f>+'OLD...Tabs'!L12</f>
        <v>0</v>
      </c>
      <c r="I95" s="269"/>
      <c r="J95" s="270"/>
      <c r="K95" s="270"/>
      <c r="L95" s="270"/>
      <c r="M95" s="270"/>
    </row>
    <row r="96" spans="1:16">
      <c r="A96" s="139"/>
      <c r="B96" s="245"/>
      <c r="C96" s="245"/>
      <c r="D96" s="245"/>
      <c r="E96" s="245"/>
      <c r="F96" s="245"/>
      <c r="G96" s="245"/>
      <c r="H96" s="247"/>
      <c r="I96" s="269"/>
      <c r="J96" s="270"/>
      <c r="K96" s="270"/>
      <c r="L96" s="270"/>
      <c r="M96" s="270"/>
    </row>
    <row r="97" spans="1:16">
      <c r="A97" s="139" t="s">
        <v>622</v>
      </c>
      <c r="B97" s="245">
        <f>+'OLD...Tabs'!L46</f>
        <v>6.930350936256775</v>
      </c>
      <c r="C97" s="245">
        <f>+'OLD...Tabs'!L77</f>
        <v>33.197705274330914</v>
      </c>
      <c r="D97" s="245">
        <f>+'OLD...Tabs'!L107</f>
        <v>69.654930303234224</v>
      </c>
      <c r="E97" s="245">
        <f>+'OLD...Tabs'!L138</f>
        <v>23.966547930350512</v>
      </c>
      <c r="F97" s="245">
        <f>+'OLD...Tabs'!L169</f>
        <v>45.783458443227161</v>
      </c>
      <c r="G97" s="245">
        <f>+'OLD...Tabs'!L199</f>
        <v>0</v>
      </c>
      <c r="H97" s="247">
        <f>+'OLD...Tabs'!L14</f>
        <v>27.449453744629256</v>
      </c>
      <c r="I97" s="269"/>
      <c r="J97" s="270"/>
      <c r="K97" s="270"/>
      <c r="L97" s="270"/>
      <c r="M97" s="270"/>
    </row>
    <row r="98" spans="1:16">
      <c r="A98" s="139" t="s">
        <v>623</v>
      </c>
      <c r="B98" s="245">
        <f>+'OLD...Tabs'!L47</f>
        <v>27.60225617960959</v>
      </c>
      <c r="C98" s="245">
        <f>+'OLD...Tabs'!L78</f>
        <v>0</v>
      </c>
      <c r="D98" s="245">
        <f>+'OLD...Tabs'!L108</f>
        <v>60.079032607630722</v>
      </c>
      <c r="E98" s="245">
        <f>+'OLD...Tabs'!L139</f>
        <v>27.471566054243219</v>
      </c>
      <c r="F98" s="245">
        <f>+'OLD...Tabs'!L170</f>
        <v>0</v>
      </c>
      <c r="G98" s="245">
        <f>+'OLD...Tabs'!L200</f>
        <v>0</v>
      </c>
      <c r="H98" s="247">
        <f>+'OLD...Tabs'!L15</f>
        <v>44.032366115014767</v>
      </c>
      <c r="I98" s="269"/>
      <c r="J98" s="270"/>
      <c r="K98" s="270"/>
      <c r="L98" s="270"/>
      <c r="M98" s="270"/>
    </row>
    <row r="99" spans="1:16">
      <c r="A99" s="139" t="s">
        <v>624</v>
      </c>
      <c r="B99" s="245">
        <f>+'OLD...Tabs'!L48</f>
        <v>7.337485402880449</v>
      </c>
      <c r="C99" s="245">
        <f>+'OLD...Tabs'!L79</f>
        <v>20.738417070524108</v>
      </c>
      <c r="D99" s="245">
        <f>+'OLD...Tabs'!L109</f>
        <v>44.858798083335856</v>
      </c>
      <c r="E99" s="245">
        <f>+'OLD...Tabs'!L140</f>
        <v>68.75275631885016</v>
      </c>
      <c r="F99" s="245">
        <f>+'OLD...Tabs'!L171</f>
        <v>26.896551724137936</v>
      </c>
      <c r="G99" s="245">
        <f>+'OLD...Tabs'!L201</f>
        <v>0</v>
      </c>
      <c r="H99" s="247">
        <f>+'OLD...Tabs'!L16</f>
        <v>34.611608959783204</v>
      </c>
      <c r="I99" s="269"/>
      <c r="J99" s="270"/>
      <c r="K99" s="270"/>
      <c r="L99" s="270"/>
      <c r="M99" s="270"/>
    </row>
    <row r="100" spans="1:16">
      <c r="A100" s="139" t="s">
        <v>625</v>
      </c>
      <c r="B100" s="245">
        <f>+'OLD...Tabs'!L49</f>
        <v>12.981059156902289</v>
      </c>
      <c r="C100" s="245">
        <f>+'OLD...Tabs'!L80</f>
        <v>22.573697671288194</v>
      </c>
      <c r="D100" s="245">
        <f>+'OLD...Tabs'!L110</f>
        <v>24.598113108100986</v>
      </c>
      <c r="E100" s="245">
        <f>+'OLD...Tabs'!L141</f>
        <v>40.437195974639891</v>
      </c>
      <c r="F100" s="245">
        <f>+'OLD...Tabs'!L172</f>
        <v>13.591810063167065</v>
      </c>
      <c r="G100" s="245">
        <f>+'OLD...Tabs'!L202</f>
        <v>0</v>
      </c>
      <c r="H100" s="247">
        <f>+'OLD...Tabs'!L17</f>
        <v>47.215681560713435</v>
      </c>
      <c r="I100" s="269"/>
      <c r="J100" s="270"/>
      <c r="K100" s="270"/>
      <c r="L100" s="270"/>
      <c r="M100" s="270"/>
    </row>
    <row r="101" spans="1:16">
      <c r="A101" s="139"/>
      <c r="B101" s="245"/>
      <c r="C101" s="245"/>
      <c r="D101" s="245"/>
      <c r="E101" s="245"/>
      <c r="F101" s="245"/>
      <c r="G101" s="245"/>
      <c r="H101" s="247"/>
      <c r="I101" s="269"/>
      <c r="J101" s="270"/>
      <c r="K101" s="270"/>
      <c r="L101" s="270"/>
      <c r="M101" s="270"/>
    </row>
    <row r="102" spans="1:16">
      <c r="A102" s="139" t="s">
        <v>626</v>
      </c>
      <c r="B102" s="245">
        <f>+'OLD...Tabs'!L51</f>
        <v>24.336988859441057</v>
      </c>
      <c r="C102" s="245">
        <f>+'OLD...Tabs'!L82</f>
        <v>54.100292998349772</v>
      </c>
      <c r="D102" s="245">
        <f>+'OLD...Tabs'!L112</f>
        <v>0</v>
      </c>
      <c r="E102" s="245">
        <f>+'OLD...Tabs'!L143</f>
        <v>75.345167652859956</v>
      </c>
      <c r="F102" s="245">
        <f>+'OLD...Tabs'!L174</f>
        <v>0</v>
      </c>
      <c r="G102" s="245">
        <f>+'OLD...Tabs'!L204</f>
        <v>0</v>
      </c>
      <c r="H102" s="247">
        <f>+'OLD...Tabs'!L19</f>
        <v>35.24699997022303</v>
      </c>
      <c r="I102" s="269"/>
      <c r="J102" s="270"/>
      <c r="K102" s="270"/>
      <c r="L102" s="270"/>
      <c r="M102" s="270"/>
    </row>
    <row r="103" spans="1:16">
      <c r="A103" s="139" t="s">
        <v>627</v>
      </c>
      <c r="B103" s="245">
        <f>+'OLD...Tabs'!L52</f>
        <v>19.973691916985519</v>
      </c>
      <c r="C103" s="245">
        <f>+'OLD...Tabs'!L83</f>
        <v>62.168951081034578</v>
      </c>
      <c r="D103" s="245">
        <f>+'OLD...Tabs'!L113</f>
        <v>41.832355310090897</v>
      </c>
      <c r="E103" s="245">
        <f>+'OLD...Tabs'!L144</f>
        <v>66.710838331705958</v>
      </c>
      <c r="F103" s="245">
        <f>+'OLD...Tabs'!L175</f>
        <v>62.409594985535193</v>
      </c>
      <c r="G103" s="245">
        <f>+'OLD...Tabs'!L205</f>
        <v>57.529493407356</v>
      </c>
      <c r="H103" s="247">
        <f>+'OLD...Tabs'!L20</f>
        <v>31.399778920785941</v>
      </c>
      <c r="I103" s="269"/>
      <c r="J103" s="270"/>
      <c r="K103" s="270"/>
      <c r="L103" s="270"/>
      <c r="M103" s="270"/>
    </row>
    <row r="104" spans="1:16">
      <c r="A104" s="139" t="s">
        <v>628</v>
      </c>
      <c r="B104" s="245">
        <f>+'OLD...Tabs'!L53</f>
        <v>0</v>
      </c>
      <c r="C104" s="245">
        <f>+'OLD...Tabs'!L84</f>
        <v>0</v>
      </c>
      <c r="D104" s="245">
        <f>+'OLD...Tabs'!L114</f>
        <v>0</v>
      </c>
      <c r="E104" s="245">
        <f>+'OLD...Tabs'!L145</f>
        <v>0</v>
      </c>
      <c r="F104" s="245">
        <f>+'OLD...Tabs'!L176</f>
        <v>0</v>
      </c>
      <c r="G104" s="245">
        <f>+'OLD...Tabs'!L206</f>
        <v>0</v>
      </c>
      <c r="H104" s="247">
        <f>+'OLD...Tabs'!L21</f>
        <v>0</v>
      </c>
      <c r="I104" s="269"/>
      <c r="J104" s="270"/>
      <c r="K104" s="270"/>
      <c r="L104" s="270"/>
      <c r="M104" s="270"/>
    </row>
    <row r="105" spans="1:16" s="186" customFormat="1">
      <c r="A105" s="139" t="s">
        <v>629</v>
      </c>
      <c r="B105" s="245">
        <f>+'OLD...Tabs'!L54</f>
        <v>24.118934641771091</v>
      </c>
      <c r="C105" s="245">
        <f>+'OLD...Tabs'!L85</f>
        <v>0</v>
      </c>
      <c r="D105" s="245">
        <f>+'OLD...Tabs'!L115</f>
        <v>40.968281253679329</v>
      </c>
      <c r="E105" s="245">
        <f>+'OLD...Tabs'!L146</f>
        <v>46.889061287820013</v>
      </c>
      <c r="F105" s="245">
        <f>+'OLD...Tabs'!L177</f>
        <v>35.319367031840606</v>
      </c>
      <c r="G105" s="245">
        <f>+'OLD...Tabs'!L207</f>
        <v>57.320872274143298</v>
      </c>
      <c r="H105" s="247">
        <f>+'OLD...Tabs'!L22</f>
        <v>28.666623645173694</v>
      </c>
      <c r="I105" s="269"/>
      <c r="J105" s="270"/>
      <c r="K105" s="270"/>
      <c r="L105" s="270"/>
      <c r="M105" s="270"/>
      <c r="N105" s="67"/>
      <c r="O105" s="67"/>
      <c r="P105" s="67"/>
    </row>
    <row r="106" spans="1:16" s="186" customFormat="1">
      <c r="A106" s="139"/>
      <c r="B106" s="245"/>
      <c r="C106" s="245"/>
      <c r="D106" s="245"/>
      <c r="E106" s="245"/>
      <c r="F106" s="245"/>
      <c r="G106" s="245"/>
      <c r="H106" s="247"/>
      <c r="I106" s="269"/>
      <c r="J106" s="270"/>
      <c r="K106" s="270"/>
      <c r="L106" s="270"/>
      <c r="M106" s="270"/>
      <c r="N106" s="67"/>
      <c r="O106" s="67"/>
      <c r="P106" s="67"/>
    </row>
    <row r="107" spans="1:16" s="186" customFormat="1">
      <c r="A107" s="139" t="s">
        <v>630</v>
      </c>
      <c r="B107" s="245">
        <f>+'OLD...Tabs'!L56</f>
        <v>29.920950399113512</v>
      </c>
      <c r="C107" s="245">
        <f>+'OLD...Tabs'!L87</f>
        <v>42.849988442869254</v>
      </c>
      <c r="D107" s="245">
        <f>+'OLD...Tabs'!L117</f>
        <v>58.689824550138852</v>
      </c>
      <c r="E107" s="245">
        <f>+'OLD...Tabs'!L148</f>
        <v>90.332594235033255</v>
      </c>
      <c r="F107" s="245">
        <f>+'OLD...Tabs'!L179</f>
        <v>0</v>
      </c>
      <c r="G107" s="245">
        <f>+'OLD...Tabs'!L209</f>
        <v>0</v>
      </c>
      <c r="H107" s="247">
        <f>+'OLD...Tabs'!L24</f>
        <v>40.720117764306814</v>
      </c>
      <c r="I107" s="269"/>
      <c r="J107" s="270"/>
      <c r="K107" s="270"/>
      <c r="L107" s="270"/>
      <c r="M107" s="270"/>
      <c r="N107" s="67"/>
      <c r="O107" s="67"/>
      <c r="P107" s="67"/>
    </row>
    <row r="108" spans="1:16" s="186" customFormat="1">
      <c r="A108" s="139" t="s">
        <v>631</v>
      </c>
      <c r="B108" s="245">
        <f>+'OLD...Tabs'!L57</f>
        <v>0</v>
      </c>
      <c r="C108" s="245">
        <f>+'OLD...Tabs'!L88</f>
        <v>0</v>
      </c>
      <c r="D108" s="245">
        <f>+'OLD...Tabs'!L118</f>
        <v>0</v>
      </c>
      <c r="E108" s="245">
        <f>+'OLD...Tabs'!L149</f>
        <v>0</v>
      </c>
      <c r="F108" s="245">
        <f>+'OLD...Tabs'!L180</f>
        <v>0</v>
      </c>
      <c r="G108" s="245">
        <f>+'OLD...Tabs'!L210</f>
        <v>0</v>
      </c>
      <c r="H108" s="247">
        <f>+'OLD...Tabs'!L25</f>
        <v>0</v>
      </c>
      <c r="I108" s="269"/>
      <c r="J108" s="270"/>
      <c r="K108" s="270"/>
      <c r="L108" s="270"/>
      <c r="M108" s="270"/>
      <c r="N108" s="67"/>
      <c r="O108" s="67"/>
      <c r="P108" s="67"/>
    </row>
    <row r="109" spans="1:16">
      <c r="A109" s="139" t="s">
        <v>632</v>
      </c>
      <c r="B109" s="245">
        <f>+'OLD...Tabs'!L58</f>
        <v>16.877938971585685</v>
      </c>
      <c r="C109" s="245">
        <f>+'OLD...Tabs'!L89</f>
        <v>15.822393693422853</v>
      </c>
      <c r="D109" s="245">
        <f>+'OLD...Tabs'!L119</f>
        <v>30.4988978487123</v>
      </c>
      <c r="E109" s="245">
        <f>+'OLD...Tabs'!L150</f>
        <v>22.129086336965635</v>
      </c>
      <c r="F109" s="245">
        <f>+'OLD...Tabs'!L181</f>
        <v>38.287169691181155</v>
      </c>
      <c r="G109" s="245">
        <f>+'OLD...Tabs'!L211</f>
        <v>0</v>
      </c>
      <c r="H109" s="247">
        <f>+'OLD...Tabs'!L26</f>
        <v>18.441216336007958</v>
      </c>
      <c r="I109" s="269"/>
      <c r="J109" s="270"/>
      <c r="K109" s="270"/>
      <c r="L109" s="270"/>
      <c r="M109" s="270"/>
    </row>
    <row r="110" spans="1:16">
      <c r="A110" s="145" t="s">
        <v>633</v>
      </c>
      <c r="B110" s="251">
        <f>+'OLD...Tabs'!L59</f>
        <v>29.639193244469254</v>
      </c>
      <c r="C110" s="251">
        <f>+'OLD...Tabs'!L90</f>
        <v>0</v>
      </c>
      <c r="D110" s="251">
        <f>+'OLD...Tabs'!L120</f>
        <v>32.863849765258216</v>
      </c>
      <c r="E110" s="251">
        <f>+'OLD...Tabs'!L151</f>
        <v>0</v>
      </c>
      <c r="F110" s="251">
        <f>+'OLD...Tabs'!L182</f>
        <v>57.287019792975016</v>
      </c>
      <c r="G110" s="251">
        <f>+'OLD...Tabs'!L212</f>
        <v>25.919801570897068</v>
      </c>
      <c r="H110" s="253">
        <f>+'OLD...Tabs'!L27</f>
        <v>34.397032172297614</v>
      </c>
      <c r="I110" s="269"/>
      <c r="J110" s="270"/>
      <c r="K110" s="270"/>
      <c r="L110" s="270"/>
      <c r="M110" s="270"/>
    </row>
    <row r="111" spans="1:16" ht="45.65" customHeight="1">
      <c r="A111" s="495" t="s">
        <v>762</v>
      </c>
      <c r="B111" s="495"/>
      <c r="C111" s="495"/>
      <c r="D111" s="495"/>
      <c r="E111" s="495"/>
      <c r="F111" s="495"/>
      <c r="G111" s="495"/>
      <c r="H111" s="495"/>
      <c r="I111" s="271"/>
      <c r="J111" s="272"/>
      <c r="K111" s="272"/>
      <c r="L111" s="272"/>
      <c r="M111" s="272"/>
      <c r="N111" s="272"/>
      <c r="O111" s="272"/>
      <c r="P111" s="272"/>
    </row>
    <row r="112" spans="1:16" ht="24" customHeight="1">
      <c r="A112" s="492" t="s">
        <v>693</v>
      </c>
      <c r="B112" s="493"/>
      <c r="C112" s="493"/>
      <c r="D112" s="493"/>
      <c r="E112" s="493"/>
      <c r="F112" s="493"/>
      <c r="G112" s="493"/>
      <c r="H112" s="493"/>
      <c r="I112" s="186"/>
      <c r="J112" s="186"/>
      <c r="K112" s="186"/>
      <c r="L112" s="186"/>
      <c r="M112" s="186"/>
      <c r="N112" s="186"/>
      <c r="O112" s="186"/>
      <c r="P112" s="186"/>
    </row>
    <row r="113" spans="1:16">
      <c r="A113" s="186"/>
      <c r="B113" s="186"/>
      <c r="C113" s="186"/>
      <c r="D113" s="186"/>
      <c r="E113" s="186"/>
      <c r="F113" s="186"/>
      <c r="G113" s="186"/>
      <c r="H113" s="192" t="s">
        <v>897</v>
      </c>
      <c r="I113" s="186"/>
      <c r="J113" s="186"/>
      <c r="K113" s="186"/>
      <c r="L113" s="186"/>
      <c r="M113" s="186"/>
      <c r="N113" s="186"/>
      <c r="O113" s="186"/>
      <c r="P113" s="186"/>
    </row>
  </sheetData>
  <mergeCells count="10">
    <mergeCell ref="A54:P54"/>
    <mergeCell ref="A83:H83"/>
    <mergeCell ref="A111:H111"/>
    <mergeCell ref="A112:H112"/>
    <mergeCell ref="B5:H5"/>
    <mergeCell ref="I5:M5"/>
    <mergeCell ref="A26:P26"/>
    <mergeCell ref="A28:P28"/>
    <mergeCell ref="A30:P30"/>
    <mergeCell ref="A53:P5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B2D0-37CF-4F58-9CA9-290531D447B1}">
  <sheetPr>
    <tabColor rgb="FFC00000"/>
  </sheetPr>
  <dimension ref="A1:AO463"/>
  <sheetViews>
    <sheetView showZeros="0" view="pageBreakPreview" topLeftCell="A109" zoomScaleNormal="100" zoomScaleSheetLayoutView="100" workbookViewId="0">
      <selection activeCell="H32" sqref="H32"/>
    </sheetView>
  </sheetViews>
  <sheetFormatPr defaultColWidth="8.84375" defaultRowHeight="12.5"/>
  <cols>
    <col min="1" max="1" width="10.4609375" style="139" customWidth="1"/>
    <col min="2" max="2" width="7.07421875" style="139" customWidth="1"/>
    <col min="3" max="3" width="7.3046875" style="139" bestFit="1" customWidth="1"/>
    <col min="4" max="4" width="7.69140625" style="139" bestFit="1" customWidth="1"/>
    <col min="5" max="5" width="4.4609375" style="139" bestFit="1" customWidth="1"/>
    <col min="6" max="6" width="8.84375" style="139" customWidth="1"/>
    <col min="7" max="7" width="6.07421875" style="139" bestFit="1" customWidth="1"/>
    <col min="8" max="8" width="9.53515625" style="139" bestFit="1" customWidth="1"/>
    <col min="9" max="9" width="10.07421875" style="205" customWidth="1"/>
    <col min="10" max="11" width="7" style="139" customWidth="1"/>
    <col min="12" max="12" width="7.765625" style="139" bestFit="1" customWidth="1"/>
    <col min="13" max="13" width="5" style="139" bestFit="1" customWidth="1"/>
    <col min="14" max="14" width="8.765625" style="139" customWidth="1"/>
    <col min="15" max="15" width="6.07421875" style="139" bestFit="1" customWidth="1"/>
    <col min="16" max="16" width="9.53515625" style="139" bestFit="1" customWidth="1"/>
    <col min="17" max="17" width="9" style="143" bestFit="1" customWidth="1"/>
    <col min="18" max="18" width="9" style="149" bestFit="1" customWidth="1"/>
    <col min="19" max="16384" width="8.84375" style="218"/>
  </cols>
  <sheetData>
    <row r="1" spans="1:41" ht="18">
      <c r="A1" s="134" t="s">
        <v>637</v>
      </c>
      <c r="B1" s="135"/>
      <c r="C1" s="135"/>
      <c r="D1" s="135"/>
      <c r="E1" s="135"/>
      <c r="F1" s="135"/>
      <c r="G1" s="135"/>
      <c r="H1" s="135"/>
      <c r="I1" s="134" t="s">
        <v>638</v>
      </c>
      <c r="J1" s="136"/>
      <c r="K1" s="136"/>
      <c r="L1" s="135"/>
      <c r="M1" s="136"/>
      <c r="N1" s="136"/>
      <c r="O1" s="136"/>
      <c r="P1" s="136"/>
      <c r="Q1" s="137"/>
      <c r="R1" s="138"/>
    </row>
    <row r="2" spans="1:41" ht="14.5">
      <c r="A2" s="140"/>
      <c r="B2" s="136"/>
      <c r="C2" s="136"/>
      <c r="D2" s="136"/>
      <c r="E2" s="136"/>
      <c r="F2" s="136"/>
      <c r="G2" s="136"/>
      <c r="H2" s="136"/>
      <c r="I2" s="140"/>
      <c r="J2" s="136"/>
      <c r="K2" s="136"/>
      <c r="L2" s="136"/>
      <c r="M2" s="136"/>
      <c r="N2" s="136"/>
      <c r="O2" s="136"/>
      <c r="P2" s="136"/>
      <c r="Q2" s="500"/>
      <c r="R2" s="501"/>
      <c r="S2" s="501"/>
      <c r="T2" s="501"/>
      <c r="U2" s="501"/>
      <c r="V2" s="501"/>
      <c r="W2" s="501"/>
      <c r="X2" s="501"/>
    </row>
    <row r="3" spans="1:41" ht="15.5">
      <c r="A3" s="142" t="s">
        <v>639</v>
      </c>
      <c r="B3" s="136"/>
      <c r="C3" s="136"/>
      <c r="D3" s="136"/>
      <c r="E3" s="136"/>
      <c r="F3" s="136"/>
      <c r="G3" s="136"/>
      <c r="H3" s="136"/>
      <c r="I3" s="142" t="s">
        <v>640</v>
      </c>
      <c r="J3" s="136"/>
      <c r="K3" s="136"/>
      <c r="L3" s="136"/>
      <c r="M3" s="136"/>
      <c r="N3" s="136"/>
      <c r="O3" s="136"/>
      <c r="P3" s="136"/>
      <c r="R3" s="144" t="s">
        <v>533</v>
      </c>
    </row>
    <row r="4" spans="1:41" ht="15.5">
      <c r="A4" s="142" t="s">
        <v>896</v>
      </c>
      <c r="B4" s="136"/>
      <c r="C4" s="136"/>
      <c r="D4" s="136"/>
      <c r="E4" s="136"/>
      <c r="F4" s="136"/>
      <c r="G4" s="136"/>
      <c r="H4" s="136"/>
      <c r="I4" s="142" t="s">
        <v>896</v>
      </c>
      <c r="J4" s="136"/>
      <c r="K4" s="136"/>
      <c r="L4" s="136"/>
      <c r="M4" s="136"/>
      <c r="N4" s="136"/>
      <c r="O4" s="136"/>
      <c r="P4" s="136"/>
      <c r="R4" s="144" t="s">
        <v>533</v>
      </c>
    </row>
    <row r="5" spans="1:41">
      <c r="A5" s="145"/>
      <c r="B5" s="146"/>
      <c r="C5" s="146"/>
      <c r="D5" s="146"/>
      <c r="E5" s="146"/>
      <c r="F5" s="146"/>
      <c r="G5" s="146"/>
      <c r="H5" s="146"/>
      <c r="I5" s="147"/>
      <c r="L5" s="148"/>
      <c r="P5" s="145"/>
    </row>
    <row r="6" spans="1:41" s="155" customFormat="1" ht="11.5">
      <c r="A6" s="150"/>
      <c r="B6" s="151" t="s">
        <v>641</v>
      </c>
      <c r="C6" s="151"/>
      <c r="D6" s="151"/>
      <c r="E6" s="151"/>
      <c r="F6" s="151"/>
      <c r="G6" s="151"/>
      <c r="H6" s="152"/>
      <c r="I6" s="150"/>
      <c r="J6" s="151" t="s">
        <v>641</v>
      </c>
      <c r="K6" s="151"/>
      <c r="L6" s="151"/>
      <c r="M6" s="151"/>
      <c r="N6" s="151"/>
      <c r="O6" s="151"/>
      <c r="P6" s="152"/>
      <c r="Q6" s="219"/>
      <c r="R6" s="220"/>
    </row>
    <row r="7" spans="1:41" s="155" customFormat="1" ht="11.5">
      <c r="A7" s="150"/>
      <c r="B7" s="151" t="s">
        <v>642</v>
      </c>
      <c r="C7" s="151"/>
      <c r="D7" s="487" t="s">
        <v>643</v>
      </c>
      <c r="E7" s="485"/>
      <c r="F7" s="485"/>
      <c r="G7" s="485"/>
      <c r="H7" s="158" t="s">
        <v>533</v>
      </c>
      <c r="I7" s="150"/>
      <c r="J7" s="151" t="s">
        <v>642</v>
      </c>
      <c r="K7" s="151"/>
      <c r="L7" s="487" t="s">
        <v>643</v>
      </c>
      <c r="M7" s="485"/>
      <c r="N7" s="485"/>
      <c r="O7" s="485"/>
      <c r="P7" s="158" t="s">
        <v>533</v>
      </c>
      <c r="Q7" s="219"/>
      <c r="R7" s="220"/>
    </row>
    <row r="8" spans="1:41" s="155" customFormat="1" ht="40.5" customHeight="1">
      <c r="A8" s="150"/>
      <c r="B8" s="159" t="s">
        <v>644</v>
      </c>
      <c r="C8" s="160" t="s">
        <v>645</v>
      </c>
      <c r="D8" s="161" t="s">
        <v>646</v>
      </c>
      <c r="E8" s="162" t="s">
        <v>8</v>
      </c>
      <c r="F8" s="159" t="s">
        <v>647</v>
      </c>
      <c r="G8" s="163" t="s">
        <v>648</v>
      </c>
      <c r="H8" s="164" t="s">
        <v>649</v>
      </c>
      <c r="I8" s="150"/>
      <c r="J8" s="159" t="s">
        <v>644</v>
      </c>
      <c r="K8" s="160" t="s">
        <v>645</v>
      </c>
      <c r="L8" s="161" t="s">
        <v>646</v>
      </c>
      <c r="M8" s="162" t="s">
        <v>8</v>
      </c>
      <c r="N8" s="159" t="s">
        <v>647</v>
      </c>
      <c r="O8" s="163" t="s">
        <v>648</v>
      </c>
      <c r="P8" s="164" t="s">
        <v>649</v>
      </c>
      <c r="Q8" s="193" t="s">
        <v>650</v>
      </c>
      <c r="R8" s="193" t="s">
        <v>650</v>
      </c>
      <c r="T8" s="193"/>
    </row>
    <row r="9" spans="1:41" ht="15.75" customHeight="1">
      <c r="A9" s="167" t="s">
        <v>618</v>
      </c>
      <c r="B9" s="221">
        <f>('Pivot Table for Data Exchange'!$J$7)*100</f>
        <v>63.645136875698448</v>
      </c>
      <c r="C9" s="168">
        <f>('Pivot Table for Data Exchange'!$J$10)*100</f>
        <v>0.547393500897568</v>
      </c>
      <c r="D9" s="169">
        <f>SUM(E9:G9)</f>
        <v>35.807469623403982</v>
      </c>
      <c r="E9" s="168">
        <f>('Pivot Table for Data Exchange'!$J$13)*100</f>
        <v>32.589667995486202</v>
      </c>
      <c r="F9" s="168">
        <f>('Pivot Table for Data Exchange'!$J$16)*100</f>
        <v>2.9763189604059139</v>
      </c>
      <c r="G9" s="201">
        <f>('Pivot Table for Data Exchange'!$J$19)*100</f>
        <v>0.24148266751186512</v>
      </c>
      <c r="H9" s="168">
        <f>('Pivot Table for Data Exchange'!$J$22)*100</f>
        <v>0</v>
      </c>
      <c r="I9" s="194" t="s">
        <v>618</v>
      </c>
      <c r="J9" s="168">
        <f>('Pivot Table for Data Exchange'!$J$25)*100</f>
        <v>42.686327919809813</v>
      </c>
      <c r="K9" s="168">
        <f>('Pivot Table for Data Exchange'!$J$28)*100</f>
        <v>2.2906840101591568</v>
      </c>
      <c r="L9" s="169">
        <f>SUM(M9:O9)</f>
        <v>55.022988070031019</v>
      </c>
      <c r="M9" s="168">
        <f>('Pivot Table for Data Exchange'!$J$31)*100</f>
        <v>53.635400364271099</v>
      </c>
      <c r="N9" s="168">
        <f>('Pivot Table for Data Exchange'!$J$34)*100</f>
        <v>1.1910112765193155</v>
      </c>
      <c r="O9" s="201">
        <f>('Pivot Table for Data Exchange'!$J$37)*100</f>
        <v>0.19657642924060847</v>
      </c>
      <c r="P9" s="168">
        <f>('Pivot Table for Data Exchange'!$J$40)*100</f>
        <v>0</v>
      </c>
      <c r="Q9" s="173">
        <f>SUM(B9,C9,D9,H9)</f>
        <v>100</v>
      </c>
      <c r="R9" s="173">
        <f>SUM(J9,K9,L9,P9)</f>
        <v>99.999999999999986</v>
      </c>
      <c r="S9" s="222"/>
      <c r="T9" s="223"/>
      <c r="U9" s="223"/>
      <c r="V9" s="223"/>
      <c r="W9" s="223"/>
      <c r="X9" s="223"/>
      <c r="Y9" s="223"/>
      <c r="Z9" s="223"/>
      <c r="AA9" s="223"/>
      <c r="AB9" s="223"/>
      <c r="AC9" s="223"/>
      <c r="AD9" s="223"/>
      <c r="AE9" s="223"/>
      <c r="AF9" s="222"/>
      <c r="AG9" s="222"/>
      <c r="AH9" s="222"/>
      <c r="AI9" s="222"/>
      <c r="AJ9" s="222"/>
      <c r="AK9" s="222"/>
      <c r="AL9" s="222"/>
      <c r="AM9" s="222"/>
      <c r="AN9" s="222"/>
      <c r="AO9" s="222"/>
    </row>
    <row r="10" spans="1:41" ht="15.75" customHeight="1">
      <c r="A10" s="139" t="s">
        <v>619</v>
      </c>
      <c r="B10" s="168">
        <f>('Pivot Table for Data Exchange'!$J$43)*100</f>
        <v>70.615692711497431</v>
      </c>
      <c r="C10" s="168">
        <f>('Pivot Table for Data Exchange'!$J$46)*100</f>
        <v>4.9518961166409641</v>
      </c>
      <c r="D10" s="169">
        <f t="shared" ref="D10:D15" si="0">SUM(E10:G10)</f>
        <v>24.322885025780018</v>
      </c>
      <c r="E10" s="168">
        <f>('Pivot Table for Data Exchange'!$J$49)*100</f>
        <v>23.779878732651056</v>
      </c>
      <c r="F10" s="168">
        <f>('Pivot Table for Data Exchange'!$J$52)*100</f>
        <v>0.26456649064598031</v>
      </c>
      <c r="G10" s="176">
        <f>('Pivot Table for Data Exchange'!$J$55)*100</f>
        <v>0.27843980248298211</v>
      </c>
      <c r="H10" s="168">
        <f>('Pivot Table for Data Exchange'!$J$58)*100</f>
        <v>0.1095261460815926</v>
      </c>
      <c r="I10" s="139" t="s">
        <v>619</v>
      </c>
      <c r="J10" s="168">
        <f>('Pivot Table for Data Exchange'!$J$61)*100</f>
        <v>39.567740742352377</v>
      </c>
      <c r="K10" s="168">
        <f>('Pivot Table for Data Exchange'!$J$64)*100</f>
        <v>4.5050802837126325</v>
      </c>
      <c r="L10" s="169">
        <f t="shared" ref="L10:L15" si="1">SUM(M10:O10)</f>
        <v>55.927178973934986</v>
      </c>
      <c r="M10" s="168">
        <f>('Pivot Table for Data Exchange'!$J$67)*100</f>
        <v>53.141181845872673</v>
      </c>
      <c r="N10" s="168">
        <f>('Pivot Table for Data Exchange'!$J$70)*100</f>
        <v>2.3361690091814977</v>
      </c>
      <c r="O10" s="176">
        <f>('Pivot Table for Data Exchange'!$J$73)*100</f>
        <v>0.44982811888081459</v>
      </c>
      <c r="P10" s="177">
        <f>('Pivot Table for Data Exchange'!$J$76)*100</f>
        <v>0</v>
      </c>
      <c r="Q10" s="173">
        <f>SUM(B10,C10,D10,H10)</f>
        <v>100.00000000000001</v>
      </c>
      <c r="R10" s="173">
        <f t="shared" ref="R10:R23" si="2">SUM(J10,K10,L10,P10)</f>
        <v>100</v>
      </c>
      <c r="S10" s="222"/>
      <c r="T10" s="223"/>
      <c r="U10" s="223"/>
      <c r="V10" s="223"/>
      <c r="W10" s="223"/>
      <c r="X10" s="223"/>
      <c r="Y10" s="223"/>
      <c r="Z10" s="223"/>
      <c r="AA10" s="223"/>
      <c r="AB10" s="223"/>
      <c r="AC10" s="223"/>
      <c r="AD10" s="223"/>
      <c r="AE10" s="223"/>
      <c r="AF10" s="222"/>
      <c r="AG10" s="222"/>
      <c r="AH10" s="222"/>
      <c r="AI10" s="222"/>
      <c r="AJ10" s="222"/>
      <c r="AK10" s="222"/>
      <c r="AL10" s="222"/>
      <c r="AM10" s="222"/>
      <c r="AN10" s="222"/>
      <c r="AO10" s="222"/>
    </row>
    <row r="11" spans="1:41" ht="15.75" customHeight="1">
      <c r="A11" s="139" t="s">
        <v>620</v>
      </c>
      <c r="B11" s="168">
        <f>('Pivot Table for Data Exchange'!$J$79)*100</f>
        <v>54.514159149440545</v>
      </c>
      <c r="C11" s="168">
        <f>('Pivot Table for Data Exchange'!$J$82)*100</f>
        <v>0</v>
      </c>
      <c r="D11" s="169">
        <f t="shared" si="0"/>
        <v>45.485840850559455</v>
      </c>
      <c r="E11" s="168">
        <f>('Pivot Table for Data Exchange'!$J$85)*100</f>
        <v>45.485840850559455</v>
      </c>
      <c r="F11" s="168">
        <f>('Pivot Table for Data Exchange'!$J$88)*100</f>
        <v>0</v>
      </c>
      <c r="G11" s="176">
        <f>('Pivot Table for Data Exchange'!$J$91)*100</f>
        <v>0</v>
      </c>
      <c r="H11" s="168">
        <f>('Pivot Table for Data Exchange'!$J$94)*100</f>
        <v>0</v>
      </c>
      <c r="I11" s="139" t="s">
        <v>620</v>
      </c>
      <c r="J11" s="168">
        <f>('Pivot Table for Data Exchange'!$J$97)*100</f>
        <v>50.194135442223867</v>
      </c>
      <c r="K11" s="168">
        <f>('Pivot Table for Data Exchange'!$J$100)*100</f>
        <v>0</v>
      </c>
      <c r="L11" s="169">
        <f t="shared" si="1"/>
        <v>49.805864557776133</v>
      </c>
      <c r="M11" s="168">
        <f>('Pivot Table for Data Exchange'!$J$103)*100</f>
        <v>49.805864557776133</v>
      </c>
      <c r="N11" s="168">
        <f>('Pivot Table for Data Exchange'!$J$106)*100</f>
        <v>0</v>
      </c>
      <c r="O11" s="176">
        <f>('Pivot Table for Data Exchange'!$J$109)*100</f>
        <v>0</v>
      </c>
      <c r="P11" s="168">
        <f>('Pivot Table for Data Exchange'!$J$112)*100</f>
        <v>0</v>
      </c>
      <c r="Q11" s="173">
        <f t="shared" ref="Q11:Q23" si="3">SUM(B11,C11,D11,H11)</f>
        <v>100</v>
      </c>
      <c r="R11" s="173">
        <f t="shared" si="2"/>
        <v>100</v>
      </c>
      <c r="S11" s="222"/>
      <c r="T11" s="223"/>
      <c r="U11" s="223"/>
      <c r="V11" s="223"/>
      <c r="W11" s="223"/>
      <c r="X11" s="223"/>
      <c r="Y11" s="223"/>
      <c r="Z11" s="223"/>
      <c r="AA11" s="223"/>
      <c r="AB11" s="223"/>
      <c r="AC11" s="223"/>
      <c r="AD11" s="223"/>
      <c r="AE11" s="223"/>
      <c r="AF11" s="222"/>
      <c r="AG11" s="222"/>
      <c r="AH11" s="222"/>
      <c r="AI11" s="222"/>
      <c r="AJ11" s="222"/>
      <c r="AK11" s="222"/>
      <c r="AL11" s="222"/>
      <c r="AM11" s="222"/>
      <c r="AN11" s="222"/>
      <c r="AO11" s="222"/>
    </row>
    <row r="12" spans="1:41" ht="15.75" customHeight="1">
      <c r="A12" s="139" t="s">
        <v>651</v>
      </c>
      <c r="B12" s="168">
        <f>('Pivot Table for Data Exchange'!$J$115)*100</f>
        <v>0</v>
      </c>
      <c r="C12" s="168">
        <f>('Pivot Table for Data Exchange'!$J$118)*100</f>
        <v>0</v>
      </c>
      <c r="D12" s="169">
        <f t="shared" si="0"/>
        <v>0</v>
      </c>
      <c r="E12" s="168">
        <f>('Pivot Table for Data Exchange'!$J$121)*100</f>
        <v>0</v>
      </c>
      <c r="F12" s="168">
        <f>('Pivot Table for Data Exchange'!$J$124)*100</f>
        <v>0</v>
      </c>
      <c r="G12" s="176">
        <f>('Pivot Table for Data Exchange'!$J$127)*100</f>
        <v>0</v>
      </c>
      <c r="H12" s="168">
        <f>('Pivot Table for Data Exchange'!$J$130)*100</f>
        <v>0</v>
      </c>
      <c r="I12" s="139" t="s">
        <v>651</v>
      </c>
      <c r="J12" s="168">
        <f>('Pivot Table for Data Exchange'!$J$133)*100</f>
        <v>0</v>
      </c>
      <c r="K12" s="168">
        <f>('Pivot Table for Data Exchange'!$J$136)*100</f>
        <v>0</v>
      </c>
      <c r="L12" s="169">
        <f t="shared" si="1"/>
        <v>0</v>
      </c>
      <c r="M12" s="168">
        <f>('Pivot Table for Data Exchange'!$J$139)*100</f>
        <v>0</v>
      </c>
      <c r="N12" s="168">
        <f>('Pivot Table for Data Exchange'!$J$142)*100</f>
        <v>0</v>
      </c>
      <c r="O12" s="175">
        <f>('Pivot Table for Data Exchange'!$J$145)*100</f>
        <v>0</v>
      </c>
      <c r="P12" s="180">
        <f>('Pivot Table for Data Exchange'!$J$148)*100</f>
        <v>0</v>
      </c>
      <c r="Q12" s="173">
        <f t="shared" si="3"/>
        <v>0</v>
      </c>
      <c r="R12" s="173">
        <f t="shared" si="2"/>
        <v>0</v>
      </c>
      <c r="S12" s="222"/>
      <c r="T12" s="223"/>
      <c r="U12" s="223"/>
      <c r="V12" s="223"/>
      <c r="W12" s="223"/>
      <c r="X12" s="223"/>
      <c r="Y12" s="223"/>
      <c r="Z12" s="223"/>
      <c r="AA12" s="223"/>
      <c r="AB12" s="223"/>
      <c r="AC12" s="223"/>
      <c r="AD12" s="223"/>
      <c r="AE12" s="223"/>
      <c r="AF12" s="222"/>
      <c r="AG12" s="222"/>
      <c r="AH12" s="222"/>
      <c r="AI12" s="222"/>
      <c r="AJ12" s="222"/>
      <c r="AK12" s="222"/>
      <c r="AL12" s="222"/>
      <c r="AM12" s="222"/>
      <c r="AN12" s="222"/>
      <c r="AO12" s="222"/>
    </row>
    <row r="13" spans="1:41" ht="9.75" customHeight="1">
      <c r="B13" s="168"/>
      <c r="C13" s="168"/>
      <c r="D13" s="169"/>
      <c r="E13" s="168"/>
      <c r="F13" s="168"/>
      <c r="G13" s="176"/>
      <c r="H13" s="168"/>
      <c r="I13" s="139"/>
      <c r="J13" s="168"/>
      <c r="K13" s="168"/>
      <c r="L13" s="169"/>
      <c r="M13" s="168"/>
      <c r="N13" s="168"/>
      <c r="O13" s="176"/>
      <c r="P13" s="168"/>
      <c r="Q13" s="173">
        <f t="shared" si="3"/>
        <v>0</v>
      </c>
      <c r="R13" s="173">
        <f t="shared" si="2"/>
        <v>0</v>
      </c>
      <c r="S13" s="222"/>
      <c r="T13" s="223"/>
      <c r="U13" s="223"/>
      <c r="V13" s="223"/>
      <c r="W13" s="223"/>
      <c r="X13" s="223"/>
      <c r="Y13" s="223"/>
      <c r="Z13" s="223"/>
      <c r="AA13" s="223"/>
      <c r="AB13" s="223"/>
      <c r="AC13" s="223"/>
      <c r="AD13" s="223"/>
      <c r="AE13" s="223"/>
      <c r="AF13" s="222"/>
      <c r="AG13" s="222"/>
      <c r="AH13" s="222"/>
      <c r="AI13" s="222"/>
      <c r="AJ13" s="222"/>
      <c r="AK13" s="222"/>
      <c r="AL13" s="222"/>
      <c r="AM13" s="222"/>
      <c r="AN13" s="222"/>
      <c r="AO13" s="222"/>
    </row>
    <row r="14" spans="1:41" ht="15.75" customHeight="1">
      <c r="A14" s="139" t="s">
        <v>622</v>
      </c>
      <c r="B14" s="168">
        <f>('Pivot Table for Data Exchange'!$J$151)*100</f>
        <v>54.539663540196948</v>
      </c>
      <c r="C14" s="168">
        <f>('Pivot Table for Data Exchange'!$J$154)*100</f>
        <v>0.97379434851058033</v>
      </c>
      <c r="D14" s="169">
        <f t="shared" si="0"/>
        <v>44.486542111292465</v>
      </c>
      <c r="E14" s="168">
        <f>('Pivot Table for Data Exchange'!$J$157)*100</f>
        <v>44.411606388102882</v>
      </c>
      <c r="F14" s="180">
        <f>('Pivot Table for Data Exchange'!$J$160)*100</f>
        <v>4.4249793617553525E-2</v>
      </c>
      <c r="G14" s="176">
        <f>('Pivot Table for Data Exchange'!$J$163)*100</f>
        <v>3.0685929572031322E-2</v>
      </c>
      <c r="H14" s="180">
        <f>('Pivot Table for Data Exchange'!$J$166)*100</f>
        <v>0</v>
      </c>
      <c r="I14" s="139" t="s">
        <v>622</v>
      </c>
      <c r="J14" s="168">
        <f>('Pivot Table for Data Exchange'!$J$169)*100</f>
        <v>43.911910047944787</v>
      </c>
      <c r="K14" s="168">
        <f>('Pivot Table for Data Exchange'!$J$172)*100</f>
        <v>7.0112095437710495</v>
      </c>
      <c r="L14" s="169">
        <f t="shared" si="1"/>
        <v>49.076880408284168</v>
      </c>
      <c r="M14" s="168">
        <f>('Pivot Table for Data Exchange'!$J$175)*100</f>
        <v>49.070657898443713</v>
      </c>
      <c r="N14" s="177">
        <f>('Pivot Table for Data Exchange'!$J$178)*100</f>
        <v>4.1027537409592408E-3</v>
      </c>
      <c r="O14" s="176">
        <f>('Pivot Table for Data Exchange'!$J$181)*100</f>
        <v>2.1197560994956075E-3</v>
      </c>
      <c r="P14" s="177">
        <f>('Pivot Table for Data Exchange'!$J$184)*100</f>
        <v>0</v>
      </c>
      <c r="Q14" s="173">
        <f t="shared" si="3"/>
        <v>100</v>
      </c>
      <c r="R14" s="173">
        <f>SUM(J14,K14,L14,P14)</f>
        <v>100</v>
      </c>
      <c r="S14" s="222"/>
      <c r="T14" s="223"/>
      <c r="U14" s="223"/>
      <c r="V14" s="223"/>
      <c r="W14" s="223"/>
      <c r="X14" s="223"/>
      <c r="Y14" s="223"/>
      <c r="Z14" s="223"/>
      <c r="AA14" s="223"/>
      <c r="AB14" s="223"/>
      <c r="AC14" s="223"/>
      <c r="AD14" s="223"/>
      <c r="AE14" s="223"/>
      <c r="AF14" s="222"/>
      <c r="AG14" s="222"/>
      <c r="AH14" s="222"/>
      <c r="AI14" s="222"/>
      <c r="AJ14" s="222"/>
      <c r="AK14" s="222"/>
      <c r="AL14" s="222"/>
      <c r="AM14" s="222"/>
      <c r="AN14" s="222"/>
      <c r="AO14" s="222"/>
    </row>
    <row r="15" spans="1:41" ht="15.75" customHeight="1">
      <c r="A15" s="139" t="s">
        <v>623</v>
      </c>
      <c r="B15" s="168">
        <f>('Pivot Table for Data Exchange'!$J$187)*100</f>
        <v>57.984760477373683</v>
      </c>
      <c r="C15" s="168">
        <f>('Pivot Table for Data Exchange'!$J$190)*100</f>
        <v>4.6072665519449529</v>
      </c>
      <c r="D15" s="169">
        <f t="shared" si="0"/>
        <v>37.407972970681357</v>
      </c>
      <c r="E15" s="168">
        <f>('Pivot Table for Data Exchange'!$J$193)*100</f>
        <v>36.738861670969399</v>
      </c>
      <c r="F15" s="168">
        <f>('Pivot Table for Data Exchange'!$J$196)*100</f>
        <v>0.64141335428579271</v>
      </c>
      <c r="G15" s="175">
        <f>('Pivot Table for Data Exchange'!$J$199)*100</f>
        <v>2.7697945426164789E-2</v>
      </c>
      <c r="H15" s="168">
        <f>('Pivot Table for Data Exchange'!$J$202)*100</f>
        <v>0</v>
      </c>
      <c r="I15" s="139" t="s">
        <v>623</v>
      </c>
      <c r="J15" s="168">
        <f>('Pivot Table for Data Exchange'!$J$205)*100</f>
        <v>34.908743371562458</v>
      </c>
      <c r="K15" s="168">
        <f>('Pivot Table for Data Exchange'!$J$208)*100</f>
        <v>2.7032253724817541</v>
      </c>
      <c r="L15" s="169">
        <f t="shared" si="1"/>
        <v>62.388031255955788</v>
      </c>
      <c r="M15" s="168">
        <f>('Pivot Table for Data Exchange'!$J$211)*100</f>
        <v>62.209217592125476</v>
      </c>
      <c r="N15" s="168">
        <f>('Pivot Table for Data Exchange'!$J$214)*100</f>
        <v>4.204083005414859E-2</v>
      </c>
      <c r="O15" s="175">
        <f>('Pivot Table for Data Exchange'!$J$217)*100</f>
        <v>0.13677283377616342</v>
      </c>
      <c r="P15" s="168">
        <f>('Pivot Table for Data Exchange'!$J$220)*100</f>
        <v>0</v>
      </c>
      <c r="Q15" s="173">
        <f t="shared" si="3"/>
        <v>100</v>
      </c>
      <c r="R15" s="173">
        <f t="shared" si="2"/>
        <v>100</v>
      </c>
      <c r="S15" s="222"/>
      <c r="T15" s="223"/>
      <c r="U15" s="223"/>
      <c r="V15" s="223"/>
      <c r="W15" s="223"/>
      <c r="X15" s="223"/>
      <c r="Y15" s="223"/>
      <c r="Z15" s="223"/>
      <c r="AA15" s="223"/>
      <c r="AB15" s="223"/>
      <c r="AC15" s="223"/>
      <c r="AD15" s="223"/>
      <c r="AE15" s="223"/>
      <c r="AF15" s="222"/>
      <c r="AG15" s="222"/>
      <c r="AH15" s="222"/>
      <c r="AI15" s="222"/>
      <c r="AJ15" s="222"/>
      <c r="AK15" s="222"/>
      <c r="AL15" s="222"/>
      <c r="AM15" s="222"/>
      <c r="AN15" s="222"/>
      <c r="AO15" s="222"/>
    </row>
    <row r="16" spans="1:41" ht="15.75" customHeight="1">
      <c r="A16" s="139" t="s">
        <v>624</v>
      </c>
      <c r="B16" s="168">
        <f>('Pivot Table for Data Exchange'!$J$223)*100</f>
        <v>62.125286030135641</v>
      </c>
      <c r="C16" s="168">
        <f>('Pivot Table for Data Exchange'!$J$226)*100</f>
        <v>0</v>
      </c>
      <c r="D16" s="169">
        <f>SUM(E16:G16)</f>
        <v>37.874713969864366</v>
      </c>
      <c r="E16" s="168">
        <f>('Pivot Table for Data Exchange'!$J$229)*100</f>
        <v>37.874713969864366</v>
      </c>
      <c r="F16" s="168">
        <f>('Pivot Table for Data Exchange'!$J$232)*100</f>
        <v>0</v>
      </c>
      <c r="G16" s="176">
        <f>('Pivot Table for Data Exchange'!$J$235)*100</f>
        <v>0</v>
      </c>
      <c r="H16" s="168">
        <f>('Pivot Table for Data Exchange'!$J$238)*100</f>
        <v>0</v>
      </c>
      <c r="I16" s="139" t="s">
        <v>624</v>
      </c>
      <c r="J16" s="168">
        <f>('Pivot Table for Data Exchange'!$J$241)*100</f>
        <v>53.120721797986548</v>
      </c>
      <c r="K16" s="168">
        <f>('Pivot Table for Data Exchange'!$J$244)*100</f>
        <v>0</v>
      </c>
      <c r="L16" s="169">
        <f>SUM(M16:O16)</f>
        <v>46.879278202013467</v>
      </c>
      <c r="M16" s="168">
        <f>('Pivot Table for Data Exchange'!$J$247)*100</f>
        <v>46.879278202013467</v>
      </c>
      <c r="N16" s="168">
        <f>('Pivot Table for Data Exchange'!$J$250)*100</f>
        <v>0</v>
      </c>
      <c r="O16" s="176">
        <f>('Pivot Table for Data Exchange'!$J$253)*100</f>
        <v>0</v>
      </c>
      <c r="P16" s="168">
        <f>('Pivot Table for Data Exchange'!$J$256)*100</f>
        <v>0</v>
      </c>
      <c r="Q16" s="173">
        <f>SUM(B16,C16,D16,H16)</f>
        <v>100</v>
      </c>
      <c r="R16" s="173">
        <f>SUM(J16,K16,L16,P16)</f>
        <v>100.00000000000001</v>
      </c>
      <c r="S16" s="222"/>
      <c r="T16" s="223"/>
      <c r="U16" s="223"/>
      <c r="V16" s="223"/>
      <c r="W16" s="223"/>
      <c r="X16" s="223"/>
      <c r="Y16" s="223"/>
      <c r="Z16" s="223"/>
      <c r="AA16" s="223"/>
      <c r="AB16" s="223"/>
      <c r="AC16" s="223"/>
      <c r="AD16" s="223"/>
      <c r="AE16" s="223"/>
      <c r="AF16" s="222"/>
      <c r="AG16" s="222"/>
      <c r="AH16" s="222"/>
      <c r="AI16" s="222"/>
      <c r="AJ16" s="222"/>
      <c r="AK16" s="222"/>
      <c r="AL16" s="222"/>
      <c r="AM16" s="222"/>
      <c r="AN16" s="222"/>
      <c r="AO16" s="222"/>
    </row>
    <row r="17" spans="1:41" ht="15.75" customHeight="1">
      <c r="A17" s="139" t="s">
        <v>625</v>
      </c>
      <c r="B17" s="168">
        <f>('Pivot Table for Data Exchange'!$J$259)*100</f>
        <v>39.28585336409747</v>
      </c>
      <c r="C17" s="168">
        <f>('Pivot Table for Data Exchange'!$J$262)*100</f>
        <v>1.7141758423629976</v>
      </c>
      <c r="D17" s="169">
        <f>SUM(E17:G17)</f>
        <v>58.999970793539525</v>
      </c>
      <c r="E17" s="168">
        <f>('Pivot Table for Data Exchange'!$J$265)*100</f>
        <v>58.173571131189114</v>
      </c>
      <c r="F17" s="168">
        <f>('Pivot Table for Data Exchange'!$J$268)*100</f>
        <v>0.82639966235040996</v>
      </c>
      <c r="G17" s="176">
        <f>('Pivot Table for Data Exchange'!$J$271)*100</f>
        <v>0</v>
      </c>
      <c r="H17" s="224">
        <f>('Pivot Table for Data Exchange'!$J$274)*100</f>
        <v>0</v>
      </c>
      <c r="I17" s="139" t="s">
        <v>625</v>
      </c>
      <c r="J17" s="168">
        <f>('Pivot Table for Data Exchange'!$J$277)*100</f>
        <v>34.536650945195206</v>
      </c>
      <c r="K17" s="168">
        <f>('Pivot Table for Data Exchange'!$J$280)*100</f>
        <v>6.4712818296233205</v>
      </c>
      <c r="L17" s="169">
        <f>SUM(M17:O17)</f>
        <v>58.992067225181472</v>
      </c>
      <c r="M17" s="168">
        <f>('Pivot Table for Data Exchange'!$J$283)*100</f>
        <v>56.5739375293983</v>
      </c>
      <c r="N17" s="168">
        <f>('Pivot Table for Data Exchange'!$J$286)*100</f>
        <v>2.4181296957831706</v>
      </c>
      <c r="O17" s="176">
        <f>('Pivot Table for Data Exchange'!$J$289)*100</f>
        <v>0</v>
      </c>
      <c r="P17" s="168">
        <f>('Pivot Table for Data Exchange'!$J$292)*100</f>
        <v>0</v>
      </c>
      <c r="Q17" s="173">
        <f>SUM(B17,C17,D17,H17)</f>
        <v>100</v>
      </c>
      <c r="R17" s="173">
        <f>SUM(J17,K17,L17,P17)</f>
        <v>100</v>
      </c>
      <c r="S17" s="222"/>
      <c r="T17" s="223"/>
      <c r="U17" s="223"/>
      <c r="V17" s="223"/>
      <c r="W17" s="223"/>
      <c r="X17" s="223"/>
      <c r="Y17" s="223"/>
      <c r="Z17" s="223"/>
      <c r="AA17" s="223"/>
      <c r="AB17" s="223"/>
      <c r="AC17" s="223"/>
      <c r="AD17" s="223"/>
      <c r="AE17" s="223"/>
      <c r="AF17" s="222"/>
      <c r="AG17" s="222"/>
      <c r="AH17" s="222"/>
      <c r="AI17" s="222"/>
      <c r="AJ17" s="222"/>
      <c r="AK17" s="222"/>
      <c r="AL17" s="222"/>
      <c r="AM17" s="222"/>
      <c r="AN17" s="222"/>
      <c r="AO17" s="222"/>
    </row>
    <row r="18" spans="1:41" ht="11.25" customHeight="1">
      <c r="B18" s="168"/>
      <c r="C18" s="168"/>
      <c r="D18" s="169"/>
      <c r="E18" s="168"/>
      <c r="F18" s="168"/>
      <c r="G18" s="176"/>
      <c r="H18" s="168"/>
      <c r="I18" s="139"/>
      <c r="J18" s="168"/>
      <c r="K18" s="168"/>
      <c r="L18" s="169"/>
      <c r="M18" s="168"/>
      <c r="N18" s="168"/>
      <c r="O18" s="176"/>
      <c r="P18" s="168"/>
      <c r="Q18" s="173">
        <f t="shared" si="3"/>
        <v>0</v>
      </c>
      <c r="R18" s="173">
        <f t="shared" si="2"/>
        <v>0</v>
      </c>
      <c r="S18" s="222"/>
      <c r="T18" s="223"/>
      <c r="U18" s="223"/>
      <c r="V18" s="223"/>
      <c r="W18" s="223"/>
      <c r="X18" s="223"/>
      <c r="Y18" s="223"/>
      <c r="Z18" s="223"/>
      <c r="AA18" s="223"/>
      <c r="AB18" s="223"/>
      <c r="AC18" s="223"/>
      <c r="AD18" s="223"/>
      <c r="AE18" s="223"/>
      <c r="AF18" s="222"/>
      <c r="AG18" s="222"/>
      <c r="AH18" s="222"/>
      <c r="AI18" s="222"/>
      <c r="AJ18" s="222"/>
      <c r="AK18" s="222"/>
      <c r="AL18" s="222"/>
      <c r="AM18" s="222"/>
      <c r="AN18" s="222"/>
      <c r="AO18" s="222"/>
    </row>
    <row r="19" spans="1:41" ht="15.75" customHeight="1">
      <c r="A19" s="139" t="s">
        <v>626</v>
      </c>
      <c r="B19" s="168">
        <f>('Pivot Table for Data Exchange'!$J$295)*100</f>
        <v>50.353288633056756</v>
      </c>
      <c r="C19" s="168">
        <f>('Pivot Table for Data Exchange'!$J$298)*100</f>
        <v>3.0607561904649354</v>
      </c>
      <c r="D19" s="169">
        <f>SUM(E19:G19)</f>
        <v>46.318023643367994</v>
      </c>
      <c r="E19" s="168">
        <f>('Pivot Table for Data Exchange'!$J$301)*100</f>
        <v>45.819077839428481</v>
      </c>
      <c r="F19" s="168">
        <f>('Pivot Table for Data Exchange'!$J$304)*100</f>
        <v>0.49860814605279336</v>
      </c>
      <c r="G19" s="179">
        <f>('Pivot Table for Data Exchange'!$J$307)*100</f>
        <v>3.376578867174673E-4</v>
      </c>
      <c r="H19" s="168">
        <f>('Pivot Table for Data Exchange'!$J$310)*100</f>
        <v>0.26793153311031032</v>
      </c>
      <c r="I19" s="139" t="s">
        <v>626</v>
      </c>
      <c r="J19" s="168">
        <f>('Pivot Table for Data Exchange'!$J$313)*100</f>
        <v>43.774543058166806</v>
      </c>
      <c r="K19" s="168">
        <f>('Pivot Table for Data Exchange'!$J$316)*100</f>
        <v>2.6968774833795282</v>
      </c>
      <c r="L19" s="169">
        <f>SUM(M19:O19)</f>
        <v>53.458802550733623</v>
      </c>
      <c r="M19" s="168">
        <f>('Pivot Table for Data Exchange'!$J$319)*100</f>
        <v>53.019983331072041</v>
      </c>
      <c r="N19" s="168">
        <f>('Pivot Table for Data Exchange'!$J$322)*100</f>
        <v>0.43300447735157871</v>
      </c>
      <c r="O19" s="175">
        <f>('Pivot Table for Data Exchange'!$J$325)*100</f>
        <v>5.8147423100032951E-3</v>
      </c>
      <c r="P19" s="180">
        <f>('Pivot Table for Data Exchange'!$J$328)*100</f>
        <v>6.9776907720039541E-2</v>
      </c>
      <c r="Q19" s="173">
        <f>SUM(B19,C19,D19,H19)</f>
        <v>100</v>
      </c>
      <c r="R19" s="173">
        <f>SUM(J19,K19,L19,P19)</f>
        <v>100</v>
      </c>
      <c r="S19" s="222"/>
      <c r="T19" s="223"/>
      <c r="U19" s="223"/>
      <c r="V19" s="223"/>
      <c r="W19" s="223"/>
      <c r="X19" s="223"/>
      <c r="Y19" s="223"/>
      <c r="Z19" s="223"/>
      <c r="AA19" s="223"/>
      <c r="AB19" s="223"/>
      <c r="AC19" s="223"/>
      <c r="AD19" s="223"/>
      <c r="AE19" s="223"/>
      <c r="AF19" s="222"/>
      <c r="AG19" s="222"/>
      <c r="AH19" s="222"/>
      <c r="AI19" s="222"/>
      <c r="AJ19" s="222"/>
      <c r="AK19" s="222"/>
      <c r="AL19" s="222"/>
      <c r="AM19" s="222"/>
      <c r="AN19" s="222"/>
      <c r="AO19" s="222"/>
    </row>
    <row r="20" spans="1:41" ht="15.75" customHeight="1">
      <c r="A20" s="139" t="s">
        <v>627</v>
      </c>
      <c r="B20" s="168">
        <f>('Pivot Table for Data Exchange'!$J$331)*100</f>
        <v>47.397805377145097</v>
      </c>
      <c r="C20" s="168">
        <f>('Pivot Table for Data Exchange'!$J$334)*100</f>
        <v>1.1403720156059787</v>
      </c>
      <c r="D20" s="169">
        <f>SUM(E20:G20)</f>
        <v>51.461822607248919</v>
      </c>
      <c r="E20" s="168">
        <f>('Pivot Table for Data Exchange'!$J$337)*100</f>
        <v>51.299630170434099</v>
      </c>
      <c r="F20" s="168">
        <f>('Pivot Table for Data Exchange'!$J$340)*100</f>
        <v>5.3605664044518921E-2</v>
      </c>
      <c r="G20" s="175">
        <f>('Pivot Table for Data Exchange'!$J$343)*100</f>
        <v>0.10858677277030332</v>
      </c>
      <c r="H20" s="168">
        <f>('Pivot Table for Data Exchange'!$J$346)*100</f>
        <v>0</v>
      </c>
      <c r="I20" s="139" t="s">
        <v>627</v>
      </c>
      <c r="J20" s="168">
        <f>('Pivot Table for Data Exchange'!$J$349)*100</f>
        <v>42.071126283055484</v>
      </c>
      <c r="K20" s="168">
        <f>('Pivot Table for Data Exchange'!$J$352)*100</f>
        <v>2.9466435969978257</v>
      </c>
      <c r="L20" s="169">
        <f>SUM(M20:O20)</f>
        <v>54.982230119946692</v>
      </c>
      <c r="M20" s="168">
        <f>('Pivot Table for Data Exchange'!$J$355)*100</f>
        <v>54.84486427085038</v>
      </c>
      <c r="N20" s="168">
        <f>('Pivot Table for Data Exchange'!$J$358)*100</f>
        <v>1.4847202412962659E-2</v>
      </c>
      <c r="O20" s="176">
        <f>('Pivot Table for Data Exchange'!$J$361)*100</f>
        <v>0.12251864668334542</v>
      </c>
      <c r="P20" s="168">
        <f>('Pivot Table for Data Exchange'!$J$364)*100</f>
        <v>0</v>
      </c>
      <c r="Q20" s="173">
        <f>SUM(B20,C20,D20,H20)</f>
        <v>100</v>
      </c>
      <c r="R20" s="173">
        <f>SUM(J20,K20,L20,P20)</f>
        <v>100</v>
      </c>
      <c r="S20" s="222"/>
      <c r="T20" s="223"/>
      <c r="U20" s="223"/>
      <c r="V20" s="223"/>
      <c r="W20" s="223"/>
      <c r="X20" s="223"/>
      <c r="Y20" s="223"/>
      <c r="Z20" s="223"/>
      <c r="AA20" s="223"/>
      <c r="AB20" s="223"/>
      <c r="AC20" s="223"/>
      <c r="AD20" s="223"/>
      <c r="AE20" s="223"/>
      <c r="AF20" s="222"/>
      <c r="AG20" s="222"/>
      <c r="AH20" s="222"/>
      <c r="AI20" s="222"/>
      <c r="AJ20" s="222"/>
      <c r="AK20" s="222"/>
      <c r="AL20" s="222"/>
      <c r="AM20" s="222"/>
      <c r="AN20" s="222"/>
      <c r="AO20" s="222"/>
    </row>
    <row r="21" spans="1:41" ht="15.75" customHeight="1">
      <c r="A21" s="139" t="s">
        <v>628</v>
      </c>
      <c r="B21" s="168">
        <f>('Pivot Table for Data Exchange'!$J$367)*100</f>
        <v>0</v>
      </c>
      <c r="C21" s="168">
        <f>('Pivot Table for Data Exchange'!$J$370)*100</f>
        <v>0</v>
      </c>
      <c r="D21" s="169">
        <f>SUM(E21:G21)</f>
        <v>0</v>
      </c>
      <c r="E21" s="168">
        <f>('Pivot Table for Data Exchange'!$J$373)*100</f>
        <v>0</v>
      </c>
      <c r="F21" s="168">
        <f>('Pivot Table for Data Exchange'!$J$376)*100</f>
        <v>0</v>
      </c>
      <c r="G21" s="176">
        <f>('Pivot Table for Data Exchange'!$J$379)*100</f>
        <v>0</v>
      </c>
      <c r="H21" s="168">
        <f>('Pivot Table for Data Exchange'!$J$382)*100</f>
        <v>0</v>
      </c>
      <c r="I21" s="139" t="s">
        <v>628</v>
      </c>
      <c r="J21" s="168">
        <f>('Pivot Table for Data Exchange'!$J$385)*100</f>
        <v>0</v>
      </c>
      <c r="K21" s="168">
        <f>('Pivot Table for Data Exchange'!$J$388)*100</f>
        <v>0</v>
      </c>
      <c r="L21" s="169">
        <f>SUM(M21:O21)</f>
        <v>0</v>
      </c>
      <c r="M21" s="168">
        <f>('Pivot Table for Data Exchange'!$J$391)*100</f>
        <v>0</v>
      </c>
      <c r="N21" s="168">
        <f>('Pivot Table for Data Exchange'!$J$394)*100</f>
        <v>0</v>
      </c>
      <c r="O21" s="176">
        <f>('Pivot Table for Data Exchange'!$J$397)*100</f>
        <v>0</v>
      </c>
      <c r="P21" s="168">
        <f>('Pivot Table for Data Exchange'!$J$400)*100</f>
        <v>0</v>
      </c>
      <c r="Q21" s="173">
        <f>SUM(B21,C21,D21,H21)</f>
        <v>0</v>
      </c>
      <c r="R21" s="173">
        <f>SUM(J21,K21,L21,P21)</f>
        <v>0</v>
      </c>
      <c r="S21" s="222"/>
      <c r="T21" s="223"/>
      <c r="U21" s="223"/>
      <c r="V21" s="223"/>
      <c r="W21" s="223"/>
      <c r="X21" s="223"/>
      <c r="Y21" s="223"/>
      <c r="Z21" s="223"/>
      <c r="AA21" s="223"/>
      <c r="AB21" s="223"/>
      <c r="AC21" s="223"/>
      <c r="AD21" s="223"/>
      <c r="AE21" s="223"/>
      <c r="AF21" s="222"/>
      <c r="AG21" s="222"/>
      <c r="AH21" s="222"/>
      <c r="AI21" s="222"/>
      <c r="AJ21" s="222"/>
      <c r="AK21" s="222"/>
      <c r="AL21" s="222"/>
      <c r="AM21" s="222"/>
      <c r="AN21" s="222"/>
      <c r="AO21" s="222"/>
    </row>
    <row r="22" spans="1:41" ht="15.75" customHeight="1">
      <c r="A22" s="139" t="s">
        <v>629</v>
      </c>
      <c r="B22" s="168">
        <f>('Pivot Table for Data Exchange'!$J$403)*100</f>
        <v>60.515599361863678</v>
      </c>
      <c r="C22" s="168">
        <f>('Pivot Table for Data Exchange'!$J$406)*100</f>
        <v>1.4824796885530742</v>
      </c>
      <c r="D22" s="169">
        <f>SUM(E22:G22)</f>
        <v>38.001920949583251</v>
      </c>
      <c r="E22" s="168">
        <f>('Pivot Table for Data Exchange'!$J$409)*100</f>
        <v>38.000996732537274</v>
      </c>
      <c r="F22" s="168">
        <f>('Pivot Table for Data Exchange'!$J$412)*100</f>
        <v>9.2421704597482157E-4</v>
      </c>
      <c r="G22" s="176">
        <f>('Pivot Table for Data Exchange'!$J$415)*100</f>
        <v>0</v>
      </c>
      <c r="H22" s="168">
        <f>('Pivot Table for Data Exchange'!$J$418)*100</f>
        <v>0</v>
      </c>
      <c r="I22" s="139" t="s">
        <v>629</v>
      </c>
      <c r="J22" s="168">
        <f>('Pivot Table for Data Exchange'!$J$421)*100</f>
        <v>43.953381511341327</v>
      </c>
      <c r="K22" s="168">
        <f>('Pivot Table for Data Exchange'!$J$424)*100</f>
        <v>6.427726025871312</v>
      </c>
      <c r="L22" s="169">
        <f>SUM(M22:O22)</f>
        <v>49.618892462787365</v>
      </c>
      <c r="M22" s="168">
        <f>('Pivot Table for Data Exchange'!$J$427)*100</f>
        <v>47.787849673475641</v>
      </c>
      <c r="N22" s="168">
        <f>('Pivot Table for Data Exchange'!$J$430)*100</f>
        <v>1.8310427893117229</v>
      </c>
      <c r="O22" s="176">
        <f>('Pivot Table for Data Exchange'!$J$433)*100</f>
        <v>0</v>
      </c>
      <c r="P22" s="168">
        <f>('Pivot Table for Data Exchange'!$J$436)*100</f>
        <v>0</v>
      </c>
      <c r="Q22" s="173">
        <f>SUM(B22,C22,D22,H22)</f>
        <v>100</v>
      </c>
      <c r="R22" s="173">
        <f>SUM(J22,K22,L22,P22)</f>
        <v>100</v>
      </c>
      <c r="S22" s="222"/>
      <c r="T22" s="223"/>
      <c r="U22" s="223"/>
      <c r="V22" s="223"/>
      <c r="W22" s="223"/>
      <c r="X22" s="223"/>
      <c r="Y22" s="223"/>
      <c r="Z22" s="223"/>
      <c r="AA22" s="223"/>
      <c r="AB22" s="223"/>
      <c r="AC22" s="223"/>
      <c r="AD22" s="223"/>
      <c r="AE22" s="223"/>
      <c r="AF22" s="222"/>
      <c r="AG22" s="222"/>
      <c r="AH22" s="222"/>
      <c r="AI22" s="222"/>
      <c r="AJ22" s="222"/>
      <c r="AK22" s="222"/>
      <c r="AL22" s="222"/>
      <c r="AM22" s="222"/>
      <c r="AN22" s="222"/>
      <c r="AO22" s="222"/>
    </row>
    <row r="23" spans="1:41" ht="9.75" customHeight="1">
      <c r="B23" s="168"/>
      <c r="C23" s="168"/>
      <c r="D23" s="169"/>
      <c r="E23" s="168"/>
      <c r="F23" s="168"/>
      <c r="G23" s="176"/>
      <c r="H23" s="168"/>
      <c r="I23" s="139"/>
      <c r="J23" s="168"/>
      <c r="K23" s="168"/>
      <c r="L23" s="169"/>
      <c r="M23" s="168"/>
      <c r="N23" s="168"/>
      <c r="O23" s="176"/>
      <c r="P23" s="168"/>
      <c r="Q23" s="173">
        <f t="shared" si="3"/>
        <v>0</v>
      </c>
      <c r="R23" s="173">
        <f t="shared" si="2"/>
        <v>0</v>
      </c>
      <c r="S23" s="222"/>
      <c r="T23" s="223"/>
      <c r="U23" s="223"/>
      <c r="V23" s="223"/>
      <c r="W23" s="223"/>
      <c r="X23" s="223"/>
      <c r="Y23" s="223"/>
      <c r="Z23" s="223"/>
      <c r="AA23" s="223"/>
      <c r="AB23" s="223"/>
      <c r="AC23" s="223"/>
      <c r="AD23" s="223"/>
      <c r="AE23" s="223"/>
      <c r="AF23" s="222"/>
      <c r="AG23" s="222"/>
      <c r="AH23" s="222"/>
      <c r="AI23" s="222"/>
      <c r="AJ23" s="222"/>
      <c r="AK23" s="222"/>
      <c r="AL23" s="222"/>
      <c r="AM23" s="222"/>
      <c r="AN23" s="222"/>
      <c r="AO23" s="222"/>
    </row>
    <row r="24" spans="1:41" ht="15.75" customHeight="1">
      <c r="A24" s="139" t="s">
        <v>630</v>
      </c>
      <c r="B24" s="168">
        <f>('Pivot Table for Data Exchange'!$J$439)*100</f>
        <v>57.682273550668206</v>
      </c>
      <c r="C24" s="168">
        <f>('Pivot Table for Data Exchange'!$J$442)*100</f>
        <v>2.4694690807602773</v>
      </c>
      <c r="D24" s="169">
        <f>SUM(E24:G24)</f>
        <v>39.314991593311476</v>
      </c>
      <c r="E24" s="168">
        <f>('Pivot Table for Data Exchange'!$J$445)*100</f>
        <v>32.590540623790822</v>
      </c>
      <c r="F24" s="168">
        <f>('Pivot Table for Data Exchange'!$J$448)*100</f>
        <v>0.32581542109929995</v>
      </c>
      <c r="G24" s="176">
        <f>('Pivot Table for Data Exchange'!$J$451)*100</f>
        <v>6.3986355484213497</v>
      </c>
      <c r="H24" s="168">
        <f>('Pivot Table for Data Exchange'!$J$454)*100</f>
        <v>0.53326577526003971</v>
      </c>
      <c r="I24" s="139" t="s">
        <v>630</v>
      </c>
      <c r="J24" s="168">
        <f>('Pivot Table for Data Exchange'!$J$457)*100</f>
        <v>40.363147431624931</v>
      </c>
      <c r="K24" s="168">
        <f>('Pivot Table for Data Exchange'!$J$460)*100</f>
        <v>1.3835149647557137</v>
      </c>
      <c r="L24" s="169">
        <f>SUM(M24:O24)</f>
        <v>55.374933998112994</v>
      </c>
      <c r="M24" s="168">
        <f>('Pivot Table for Data Exchange'!$J$463)*100</f>
        <v>51.38337069833603</v>
      </c>
      <c r="N24" s="168">
        <f>('Pivot Table for Data Exchange'!$J$466)*100</f>
        <v>0.11512460290667983</v>
      </c>
      <c r="O24" s="176">
        <f>('Pivot Table for Data Exchange'!$J$469)*100</f>
        <v>3.8764386968702844</v>
      </c>
      <c r="P24" s="168">
        <f>('Pivot Table for Data Exchange'!$J$472)*100</f>
        <v>2.8784036055063607</v>
      </c>
      <c r="Q24" s="173">
        <f>SUM(B24,C24,D24,H24)</f>
        <v>99.999999999999986</v>
      </c>
      <c r="R24" s="173">
        <f>SUM(J24,K24,L24,P24)</f>
        <v>100</v>
      </c>
      <c r="S24" s="222"/>
      <c r="T24" s="223"/>
      <c r="U24" s="223"/>
      <c r="V24" s="223"/>
      <c r="W24" s="223"/>
      <c r="X24" s="223"/>
      <c r="Y24" s="223"/>
      <c r="Z24" s="223"/>
      <c r="AA24" s="223"/>
      <c r="AB24" s="223"/>
      <c r="AC24" s="223"/>
      <c r="AD24" s="223"/>
      <c r="AE24" s="223"/>
      <c r="AF24" s="222"/>
      <c r="AG24" s="222"/>
      <c r="AH24" s="222"/>
      <c r="AI24" s="222"/>
      <c r="AJ24" s="222"/>
      <c r="AK24" s="222"/>
      <c r="AL24" s="222"/>
      <c r="AM24" s="222"/>
      <c r="AN24" s="222"/>
      <c r="AO24" s="222"/>
    </row>
    <row r="25" spans="1:41" ht="15.75" customHeight="1">
      <c r="A25" s="139" t="s">
        <v>631</v>
      </c>
      <c r="B25" s="168">
        <f>('Pivot Table for Data Exchange'!$J$475)*100</f>
        <v>43.388169267296213</v>
      </c>
      <c r="C25" s="168">
        <f>('Pivot Table for Data Exchange'!$J$478)*100</f>
        <v>0.99601992473542722</v>
      </c>
      <c r="D25" s="169">
        <f>SUM(E25:G25)</f>
        <v>55.615810807968359</v>
      </c>
      <c r="E25" s="168">
        <f>('Pivot Table for Data Exchange'!$J$481)*100</f>
        <v>53.159524015872307</v>
      </c>
      <c r="F25" s="168">
        <f>('Pivot Table for Data Exchange'!$J$484)*100</f>
        <v>1.6815949907851027</v>
      </c>
      <c r="G25" s="176">
        <f>('Pivot Table for Data Exchange'!$J$487)*100</f>
        <v>0.7746918013109535</v>
      </c>
      <c r="H25" s="168">
        <f>('Pivot Table for Data Exchange'!$J$490)*100</f>
        <v>0</v>
      </c>
      <c r="I25" s="139" t="s">
        <v>631</v>
      </c>
      <c r="J25" s="168">
        <f>('Pivot Table for Data Exchange'!$J$493)*100</f>
        <v>37.823032367224435</v>
      </c>
      <c r="K25" s="168">
        <f>('Pivot Table for Data Exchange'!$J$496)*100</f>
        <v>1.6129549991088181</v>
      </c>
      <c r="L25" s="169">
        <f>SUM(M25:O25)</f>
        <v>60.564012633666749</v>
      </c>
      <c r="M25" s="168">
        <f>('Pivot Table for Data Exchange'!$J$499)*100</f>
        <v>58.44722301766906</v>
      </c>
      <c r="N25" s="168">
        <f>('Pivot Table for Data Exchange'!$J$502)*100</f>
        <v>1.213570294833425</v>
      </c>
      <c r="O25" s="176">
        <f>('Pivot Table for Data Exchange'!$J$505)*100</f>
        <v>0.90321932116426384</v>
      </c>
      <c r="P25" s="168">
        <f>('Pivot Table for Data Exchange'!$J$508)*100</f>
        <v>0</v>
      </c>
      <c r="Q25" s="173">
        <f>SUM(B25,C25,D25,H25)</f>
        <v>100</v>
      </c>
      <c r="R25" s="173">
        <f>SUM(J25,K25,L25,P25)</f>
        <v>100</v>
      </c>
      <c r="S25" s="222"/>
      <c r="T25" s="223"/>
      <c r="U25" s="223"/>
      <c r="V25" s="223"/>
      <c r="W25" s="223"/>
      <c r="X25" s="223"/>
      <c r="Y25" s="223"/>
      <c r="Z25" s="223"/>
      <c r="AA25" s="223"/>
      <c r="AB25" s="223"/>
      <c r="AC25" s="223"/>
      <c r="AD25" s="223"/>
      <c r="AE25" s="223"/>
      <c r="AF25" s="222"/>
      <c r="AG25" s="222"/>
      <c r="AH25" s="222"/>
      <c r="AI25" s="222"/>
      <c r="AJ25" s="222"/>
      <c r="AK25" s="222"/>
      <c r="AL25" s="222"/>
      <c r="AM25" s="222"/>
      <c r="AN25" s="222"/>
      <c r="AO25" s="222"/>
    </row>
    <row r="26" spans="1:41" ht="15.75" customHeight="1">
      <c r="A26" s="139" t="s">
        <v>632</v>
      </c>
      <c r="B26" s="168">
        <f>('Pivot Table for Data Exchange'!$J$511)*100</f>
        <v>56.584105082528694</v>
      </c>
      <c r="C26" s="168">
        <f>('Pivot Table for Data Exchange'!$J$514)*100</f>
        <v>1.2806455779537267</v>
      </c>
      <c r="D26" s="169">
        <f>SUM(E26:G26)</f>
        <v>42.135249339517593</v>
      </c>
      <c r="E26" s="168">
        <f>('Pivot Table for Data Exchange'!$J$517)*100</f>
        <v>29.824317604803923</v>
      </c>
      <c r="F26" s="168">
        <f>('Pivot Table for Data Exchange'!$J$520)*100</f>
        <v>12.310831122737294</v>
      </c>
      <c r="G26" s="176">
        <f>('Pivot Table for Data Exchange'!$J$523)*100</f>
        <v>1.0061197637075416E-4</v>
      </c>
      <c r="H26" s="168">
        <f>('Pivot Table for Data Exchange'!$J$526)*100</f>
        <v>0</v>
      </c>
      <c r="I26" s="139" t="s">
        <v>632</v>
      </c>
      <c r="J26" s="168">
        <f>('Pivot Table for Data Exchange'!$J$529)*100</f>
        <v>53.649764098931385</v>
      </c>
      <c r="K26" s="168">
        <f>('Pivot Table for Data Exchange'!$J$532)*100</f>
        <v>5.0399406587632116</v>
      </c>
      <c r="L26" s="169">
        <f>SUM(M26:O26)</f>
        <v>41.310295242305401</v>
      </c>
      <c r="M26" s="168">
        <f>('Pivot Table for Data Exchange'!$J$535)*100</f>
        <v>28.911992090812728</v>
      </c>
      <c r="N26" s="168">
        <f>('Pivot Table for Data Exchange'!$J$538)*100</f>
        <v>12.188491726071364</v>
      </c>
      <c r="O26" s="176">
        <f>('Pivot Table for Data Exchange'!$J$541)*100</f>
        <v>0.20981142542130615</v>
      </c>
      <c r="P26" s="168">
        <f>('Pivot Table for Data Exchange'!$J$544)*100</f>
        <v>0</v>
      </c>
      <c r="Q26" s="173">
        <f>SUM(B26,C26,D26,H26)</f>
        <v>100.00000000000001</v>
      </c>
      <c r="R26" s="173">
        <f>SUM(J26,K26,L26,P26)</f>
        <v>100</v>
      </c>
      <c r="S26" s="222"/>
      <c r="T26" s="223"/>
      <c r="U26" s="223"/>
      <c r="V26" s="223"/>
      <c r="W26" s="223"/>
      <c r="X26" s="223"/>
      <c r="Y26" s="223"/>
      <c r="Z26" s="223"/>
      <c r="AA26" s="223"/>
      <c r="AB26" s="223"/>
      <c r="AC26" s="223"/>
      <c r="AD26" s="223"/>
      <c r="AE26" s="223"/>
      <c r="AF26" s="222"/>
      <c r="AG26" s="222"/>
      <c r="AH26" s="222"/>
      <c r="AI26" s="222"/>
      <c r="AJ26" s="222"/>
      <c r="AK26" s="222"/>
      <c r="AL26" s="222"/>
      <c r="AM26" s="222"/>
      <c r="AN26" s="222"/>
      <c r="AO26" s="222"/>
    </row>
    <row r="27" spans="1:41" ht="15.75" customHeight="1">
      <c r="A27" s="145" t="s">
        <v>633</v>
      </c>
      <c r="B27" s="181">
        <f>('Pivot Table for Data Exchange'!$J$547)*100</f>
        <v>53.434721280558605</v>
      </c>
      <c r="C27" s="181">
        <f>('Pivot Table for Data Exchange'!$J$550)*100</f>
        <v>4.2707627085622546</v>
      </c>
      <c r="D27" s="182">
        <f>SUM(E27:G27)</f>
        <v>42.294516010879136</v>
      </c>
      <c r="E27" s="181">
        <f>('Pivot Table for Data Exchange'!$J$553)*100</f>
        <v>41.929877882464794</v>
      </c>
      <c r="F27" s="181">
        <f>('Pivot Table for Data Exchange'!$J$556)*100</f>
        <v>0.29987764867244915</v>
      </c>
      <c r="G27" s="183">
        <f>('Pivot Table for Data Exchange'!$J$559)*100</f>
        <v>6.4760479741893251E-2</v>
      </c>
      <c r="H27" s="181">
        <f>('Pivot Table for Data Exchange'!$J$562)*100</f>
        <v>0</v>
      </c>
      <c r="I27" s="145" t="s">
        <v>633</v>
      </c>
      <c r="J27" s="181">
        <f>('Pivot Table for Data Exchange'!$J$565)*100</f>
        <v>43.60672159750775</v>
      </c>
      <c r="K27" s="181">
        <f>('Pivot Table for Data Exchange'!$J$568)*100</f>
        <v>4.3917152402811492</v>
      </c>
      <c r="L27" s="182">
        <f>SUM(M27:O27)</f>
        <v>52.001563162211099</v>
      </c>
      <c r="M27" s="181">
        <f>('Pivot Table for Data Exchange'!$J$571)*100</f>
        <v>51.131916579977208</v>
      </c>
      <c r="N27" s="181">
        <f>('Pivot Table for Data Exchange'!$J$574)*100</f>
        <v>0.44087779263882698</v>
      </c>
      <c r="O27" s="183">
        <f>('Pivot Table for Data Exchange'!$J$577)*100</f>
        <v>0.42876878959506393</v>
      </c>
      <c r="P27" s="181">
        <f>('Pivot Table for Data Exchange'!$J$580)*100</f>
        <v>0</v>
      </c>
      <c r="Q27" s="173">
        <f t="shared" ref="Q27:Q90" si="4">SUM(B27,C27,D27,H27)</f>
        <v>100</v>
      </c>
      <c r="R27" s="173">
        <f t="shared" ref="R27:R90" si="5">SUM(J27,K27,L27,P27)</f>
        <v>100</v>
      </c>
      <c r="S27" s="222"/>
      <c r="T27" s="223"/>
      <c r="U27" s="223"/>
      <c r="V27" s="223"/>
      <c r="W27" s="223"/>
      <c r="X27" s="223"/>
      <c r="Y27" s="223"/>
      <c r="Z27" s="223"/>
      <c r="AA27" s="223"/>
      <c r="AB27" s="223"/>
      <c r="AC27" s="223"/>
      <c r="AD27" s="223"/>
      <c r="AE27" s="223"/>
      <c r="AF27" s="222"/>
      <c r="AG27" s="222"/>
      <c r="AH27" s="222"/>
      <c r="AI27" s="222"/>
      <c r="AJ27" s="222"/>
      <c r="AK27" s="222"/>
      <c r="AL27" s="222"/>
      <c r="AM27" s="222"/>
      <c r="AN27" s="222"/>
      <c r="AO27" s="222"/>
    </row>
    <row r="28" spans="1:41" s="212" customFormat="1" ht="33" customHeight="1">
      <c r="A28" s="502" t="s">
        <v>763</v>
      </c>
      <c r="B28" s="503"/>
      <c r="C28" s="503"/>
      <c r="D28" s="503"/>
      <c r="E28" s="503"/>
      <c r="F28" s="503"/>
      <c r="G28" s="503"/>
      <c r="H28" s="503"/>
      <c r="I28" s="502" t="s">
        <v>763</v>
      </c>
      <c r="J28" s="503"/>
      <c r="K28" s="503"/>
      <c r="L28" s="503"/>
      <c r="M28" s="503"/>
      <c r="N28" s="503"/>
      <c r="O28" s="503"/>
      <c r="P28" s="503"/>
      <c r="Q28" s="173">
        <f>SUM(B28,C28,D28,H28)</f>
        <v>0</v>
      </c>
      <c r="R28" s="173">
        <f>SUM(J28,K28,L28,P28)</f>
        <v>0</v>
      </c>
    </row>
    <row r="29" spans="1:41" s="212" customFormat="1" ht="10.5" customHeight="1">
      <c r="A29" s="187" t="s">
        <v>652</v>
      </c>
      <c r="B29" s="188"/>
      <c r="C29" s="188"/>
      <c r="D29" s="189"/>
      <c r="E29" s="188"/>
      <c r="F29" s="189"/>
      <c r="G29" s="189"/>
      <c r="H29" s="188"/>
      <c r="I29" s="187" t="s">
        <v>652</v>
      </c>
      <c r="J29" s="188"/>
      <c r="K29" s="188"/>
      <c r="L29" s="189"/>
      <c r="M29" s="188"/>
      <c r="N29" s="189"/>
      <c r="O29" s="189"/>
      <c r="P29" s="188"/>
      <c r="Q29" s="173">
        <f t="shared" si="4"/>
        <v>0</v>
      </c>
      <c r="R29" s="173">
        <f t="shared" si="5"/>
        <v>0</v>
      </c>
      <c r="S29" s="225"/>
      <c r="T29" s="222"/>
      <c r="U29" s="225"/>
      <c r="V29" s="225"/>
      <c r="W29" s="225"/>
      <c r="X29" s="225"/>
      <c r="Y29" s="225"/>
      <c r="Z29" s="225"/>
      <c r="AA29" s="225"/>
      <c r="AB29" s="225"/>
      <c r="AC29" s="225"/>
      <c r="AD29" s="225"/>
      <c r="AE29" s="225"/>
      <c r="AF29" s="225"/>
      <c r="AG29" s="225"/>
      <c r="AH29" s="225"/>
      <c r="AI29" s="225"/>
      <c r="AJ29" s="225"/>
      <c r="AK29" s="225"/>
      <c r="AL29" s="225"/>
      <c r="AM29" s="225"/>
      <c r="AN29" s="225"/>
      <c r="AO29" s="225"/>
    </row>
    <row r="30" spans="1:41" s="212" customFormat="1" ht="21.75" customHeight="1">
      <c r="A30" s="492" t="s">
        <v>653</v>
      </c>
      <c r="B30" s="493"/>
      <c r="C30" s="493"/>
      <c r="D30" s="493"/>
      <c r="E30" s="493"/>
      <c r="F30" s="493"/>
      <c r="G30" s="493"/>
      <c r="H30" s="493"/>
      <c r="I30" s="492" t="s">
        <v>653</v>
      </c>
      <c r="J30" s="493"/>
      <c r="K30" s="493"/>
      <c r="L30" s="493"/>
      <c r="M30" s="493"/>
      <c r="N30" s="493"/>
      <c r="O30" s="493"/>
      <c r="P30" s="493"/>
      <c r="Q30" s="173">
        <f t="shared" si="4"/>
        <v>0</v>
      </c>
      <c r="R30" s="173">
        <f t="shared" si="5"/>
        <v>0</v>
      </c>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row>
    <row r="31" spans="1:41" s="212" customFormat="1" ht="13.5" customHeight="1">
      <c r="A31" s="185"/>
      <c r="B31" s="59"/>
      <c r="C31" s="59"/>
      <c r="D31" s="59"/>
      <c r="E31" s="59"/>
      <c r="F31" s="59"/>
      <c r="G31" s="59"/>
      <c r="I31" s="185"/>
      <c r="J31" s="59"/>
      <c r="K31" s="59"/>
      <c r="L31" s="59"/>
      <c r="M31" s="59"/>
      <c r="N31" s="59"/>
      <c r="O31" s="59"/>
      <c r="P31" s="59"/>
      <c r="Q31" s="173">
        <f t="shared" si="4"/>
        <v>0</v>
      </c>
      <c r="R31" s="173">
        <f t="shared" si="5"/>
        <v>0</v>
      </c>
    </row>
    <row r="32" spans="1:41">
      <c r="H32" s="192" t="s">
        <v>923</v>
      </c>
      <c r="I32" s="139"/>
      <c r="P32" s="192" t="s">
        <v>923</v>
      </c>
      <c r="Q32" s="173">
        <f>SUM(B32,C32,D32,H32)</f>
        <v>0</v>
      </c>
      <c r="R32" s="173">
        <f t="shared" si="5"/>
        <v>0</v>
      </c>
    </row>
    <row r="33" spans="1:41" ht="18">
      <c r="A33" s="134" t="s">
        <v>654</v>
      </c>
      <c r="B33" s="135"/>
      <c r="C33" s="135"/>
      <c r="D33" s="135"/>
      <c r="E33" s="135"/>
      <c r="F33" s="135"/>
      <c r="G33" s="135"/>
      <c r="H33" s="135"/>
      <c r="I33" s="134" t="s">
        <v>655</v>
      </c>
      <c r="J33" s="136"/>
      <c r="K33" s="136"/>
      <c r="L33" s="135"/>
      <c r="M33" s="136"/>
      <c r="N33" s="136"/>
      <c r="O33" s="136"/>
      <c r="P33" s="136"/>
      <c r="Q33" s="173">
        <f t="shared" si="4"/>
        <v>0</v>
      </c>
      <c r="R33" s="173">
        <f t="shared" si="5"/>
        <v>0</v>
      </c>
    </row>
    <row r="34" spans="1:41" ht="13">
      <c r="A34" s="140"/>
      <c r="B34" s="136"/>
      <c r="C34" s="136"/>
      <c r="D34" s="136"/>
      <c r="E34" s="136"/>
      <c r="F34" s="136"/>
      <c r="G34" s="136"/>
      <c r="H34" s="136"/>
      <c r="I34" s="140"/>
      <c r="J34" s="136"/>
      <c r="K34" s="136"/>
      <c r="L34" s="136"/>
      <c r="M34" s="136"/>
      <c r="N34" s="136"/>
      <c r="O34" s="136"/>
      <c r="P34" s="136"/>
      <c r="Q34" s="173">
        <f t="shared" si="4"/>
        <v>0</v>
      </c>
      <c r="R34" s="173">
        <f t="shared" si="5"/>
        <v>0</v>
      </c>
    </row>
    <row r="35" spans="1:41" ht="15.5">
      <c r="A35" s="142" t="s">
        <v>639</v>
      </c>
      <c r="B35" s="136"/>
      <c r="C35" s="136"/>
      <c r="D35" s="136"/>
      <c r="E35" s="136"/>
      <c r="F35" s="136"/>
      <c r="G35" s="136"/>
      <c r="H35" s="136"/>
      <c r="I35" s="142" t="s">
        <v>640</v>
      </c>
      <c r="J35" s="136"/>
      <c r="K35" s="136"/>
      <c r="L35" s="136"/>
      <c r="M35" s="136"/>
      <c r="N35" s="136"/>
      <c r="O35" s="136"/>
      <c r="P35" s="136"/>
      <c r="Q35" s="173">
        <f t="shared" si="4"/>
        <v>0</v>
      </c>
      <c r="R35" s="173">
        <f t="shared" si="5"/>
        <v>0</v>
      </c>
    </row>
    <row r="36" spans="1:41" ht="15.5">
      <c r="A36" s="142" t="s">
        <v>882</v>
      </c>
      <c r="B36" s="136"/>
      <c r="C36" s="136"/>
      <c r="D36" s="136"/>
      <c r="E36" s="136"/>
      <c r="F36" s="136"/>
      <c r="G36" s="136"/>
      <c r="H36" s="136"/>
      <c r="I36" s="142" t="s">
        <v>882</v>
      </c>
      <c r="J36" s="136"/>
      <c r="K36" s="136"/>
      <c r="L36" s="136"/>
      <c r="M36" s="136"/>
      <c r="N36" s="136"/>
      <c r="O36" s="136"/>
      <c r="P36" s="136"/>
      <c r="Q36" s="173">
        <f t="shared" si="4"/>
        <v>0</v>
      </c>
      <c r="R36" s="173">
        <f t="shared" si="5"/>
        <v>0</v>
      </c>
    </row>
    <row r="37" spans="1:41">
      <c r="A37" s="145"/>
      <c r="B37" s="146"/>
      <c r="C37" s="146"/>
      <c r="D37" s="146"/>
      <c r="E37" s="146"/>
      <c r="F37" s="146"/>
      <c r="G37" s="146"/>
      <c r="H37" s="146"/>
      <c r="I37" s="147"/>
      <c r="L37" s="148"/>
      <c r="P37" s="145"/>
      <c r="Q37" s="173">
        <f t="shared" si="4"/>
        <v>0</v>
      </c>
      <c r="R37" s="173">
        <f t="shared" si="5"/>
        <v>0</v>
      </c>
    </row>
    <row r="38" spans="1:41" s="166" customFormat="1">
      <c r="A38" s="150"/>
      <c r="B38" s="151" t="s">
        <v>641</v>
      </c>
      <c r="C38" s="151"/>
      <c r="D38" s="151"/>
      <c r="E38" s="151"/>
      <c r="F38" s="151"/>
      <c r="G38" s="151"/>
      <c r="H38" s="152"/>
      <c r="I38" s="150"/>
      <c r="J38" s="151" t="s">
        <v>641</v>
      </c>
      <c r="K38" s="151"/>
      <c r="L38" s="151"/>
      <c r="M38" s="151"/>
      <c r="N38" s="151"/>
      <c r="O38" s="151"/>
      <c r="P38" s="152"/>
      <c r="Q38" s="173">
        <f t="shared" si="4"/>
        <v>0</v>
      </c>
      <c r="R38" s="173">
        <f t="shared" si="5"/>
        <v>0</v>
      </c>
    </row>
    <row r="39" spans="1:41" s="166" customFormat="1">
      <c r="A39" s="150"/>
      <c r="B39" s="151" t="s">
        <v>642</v>
      </c>
      <c r="C39" s="151"/>
      <c r="D39" s="487" t="s">
        <v>643</v>
      </c>
      <c r="E39" s="485"/>
      <c r="F39" s="485"/>
      <c r="G39" s="485"/>
      <c r="H39" s="158" t="s">
        <v>533</v>
      </c>
      <c r="I39" s="150"/>
      <c r="J39" s="151" t="s">
        <v>642</v>
      </c>
      <c r="K39" s="151"/>
      <c r="L39" s="487" t="s">
        <v>643</v>
      </c>
      <c r="M39" s="485"/>
      <c r="N39" s="485"/>
      <c r="O39" s="485"/>
      <c r="P39" s="158" t="s">
        <v>533</v>
      </c>
      <c r="Q39" s="173">
        <f t="shared" si="4"/>
        <v>0</v>
      </c>
      <c r="R39" s="173">
        <f t="shared" si="5"/>
        <v>0</v>
      </c>
    </row>
    <row r="40" spans="1:41" s="166" customFormat="1" ht="40.5" customHeight="1">
      <c r="A40" s="150"/>
      <c r="B40" s="159" t="s">
        <v>644</v>
      </c>
      <c r="C40" s="160" t="s">
        <v>645</v>
      </c>
      <c r="D40" s="161" t="s">
        <v>646</v>
      </c>
      <c r="E40" s="162" t="s">
        <v>8</v>
      </c>
      <c r="F40" s="159" t="s">
        <v>647</v>
      </c>
      <c r="G40" s="163" t="s">
        <v>656</v>
      </c>
      <c r="H40" s="164" t="s">
        <v>649</v>
      </c>
      <c r="I40" s="150"/>
      <c r="J40" s="159" t="s">
        <v>644</v>
      </c>
      <c r="K40" s="160" t="s">
        <v>645</v>
      </c>
      <c r="L40" s="161" t="s">
        <v>646</v>
      </c>
      <c r="M40" s="162" t="s">
        <v>8</v>
      </c>
      <c r="N40" s="159" t="s">
        <v>647</v>
      </c>
      <c r="O40" s="163" t="s">
        <v>656</v>
      </c>
      <c r="P40" s="164" t="s">
        <v>649</v>
      </c>
      <c r="Q40" s="173">
        <f t="shared" si="4"/>
        <v>0</v>
      </c>
      <c r="R40" s="173">
        <f t="shared" si="5"/>
        <v>0</v>
      </c>
      <c r="T40" s="165"/>
    </row>
    <row r="41" spans="1:41" ht="15.75" customHeight="1">
      <c r="A41" s="167" t="s">
        <v>618</v>
      </c>
      <c r="B41" s="221">
        <f>('Pivot Table for Data Exchange'!$C$7)*100</f>
        <v>71.648338006551739</v>
      </c>
      <c r="C41" s="180">
        <f>('Pivot Table for Data Exchange'!$C$10)*100</f>
        <v>0.80645078552133309</v>
      </c>
      <c r="D41" s="169">
        <f>SUM(E41:G41)</f>
        <v>27.545211207926926</v>
      </c>
      <c r="E41" s="168">
        <f>('Pivot Table for Data Exchange'!$C$13)*100</f>
        <v>21.957355214870582</v>
      </c>
      <c r="F41" s="180">
        <f>('Pivot Table for Data Exchange'!$C$16)*100</f>
        <v>5.5878559930563458</v>
      </c>
      <c r="G41" s="172">
        <f>('Pivot Table for Data Exchange'!$C$19)*100</f>
        <v>0</v>
      </c>
      <c r="H41" s="168">
        <f>('Pivot Table for Data Exchange'!$C$22)*100</f>
        <v>0</v>
      </c>
      <c r="I41" s="171" t="s">
        <v>618</v>
      </c>
      <c r="J41" s="168">
        <f>('Pivot Table for Data Exchange'!$C$25)*100</f>
        <v>62.625059813200181</v>
      </c>
      <c r="K41" s="168">
        <f>('Pivot Table for Data Exchange'!$C$28)*100</f>
        <v>4.1264715873601467</v>
      </c>
      <c r="L41" s="169">
        <f>SUM(M41:O41)</f>
        <v>33.248468599439676</v>
      </c>
      <c r="M41" s="168">
        <f>('Pivot Table for Data Exchange'!$C$31)*100</f>
        <v>30.838407562580134</v>
      </c>
      <c r="N41" s="168">
        <f>('Pivot Table for Data Exchange'!$C$34)*100</f>
        <v>2.4100610368595423</v>
      </c>
      <c r="O41" s="172">
        <f>('Pivot Table for Data Exchange'!$C$37)*100</f>
        <v>0</v>
      </c>
      <c r="P41" s="168">
        <f>('Pivot Table for Data Exchange'!$C$40)*100</f>
        <v>0</v>
      </c>
      <c r="Q41" s="173">
        <f t="shared" si="4"/>
        <v>100</v>
      </c>
      <c r="R41" s="173">
        <f t="shared" si="5"/>
        <v>100</v>
      </c>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row>
    <row r="42" spans="1:41" ht="15.75" customHeight="1">
      <c r="A42" s="139" t="s">
        <v>619</v>
      </c>
      <c r="B42" s="168">
        <f>('Pivot Table for Data Exchange'!$C$43)*100</f>
        <v>85.945982947587794</v>
      </c>
      <c r="C42" s="168">
        <f>('Pivot Table for Data Exchange'!$C$46)*100</f>
        <v>0.75146223293808045</v>
      </c>
      <c r="D42" s="169">
        <f t="shared" ref="D42:D44" si="6">SUM(E42:G42)</f>
        <v>12.960289632407189</v>
      </c>
      <c r="E42" s="168">
        <f>('Pivot Table for Data Exchange'!$C$49)*100</f>
        <v>12.906744145363827</v>
      </c>
      <c r="F42" s="168">
        <f>('Pivot Table for Data Exchange'!$C$52)*100</f>
        <v>5.3545487043361199E-2</v>
      </c>
      <c r="G42" s="179">
        <f>('Pivot Table for Data Exchange'!$C$55)*100</f>
        <v>0</v>
      </c>
      <c r="H42" s="168">
        <f>('Pivot Table for Data Exchange'!$C$58)*100</f>
        <v>0.34226518706693948</v>
      </c>
      <c r="I42" s="174" t="s">
        <v>619</v>
      </c>
      <c r="J42" s="168">
        <f>('Pivot Table for Data Exchange'!$C$61)*100</f>
        <v>59.540555583666446</v>
      </c>
      <c r="K42" s="168">
        <f>('Pivot Table for Data Exchange'!$C$64)*100</f>
        <v>0.45919141830693722</v>
      </c>
      <c r="L42" s="169">
        <f t="shared" ref="L42:L44" si="7">SUM(M42:O42)</f>
        <v>40.000252998026617</v>
      </c>
      <c r="M42" s="168">
        <f>('Pivot Table for Data Exchange'!$C$67)*100</f>
        <v>39.893993826848153</v>
      </c>
      <c r="N42" s="177">
        <f>('Pivot Table for Data Exchange'!$C$70)*100</f>
        <v>0.10246420077923392</v>
      </c>
      <c r="O42" s="175">
        <f>('Pivot Table for Data Exchange'!$C$73)*100</f>
        <v>3.7949703992308857E-3</v>
      </c>
      <c r="P42" s="180">
        <f>('Pivot Table for Data Exchange'!$C$76)*100</f>
        <v>0</v>
      </c>
      <c r="Q42" s="173">
        <f t="shared" si="4"/>
        <v>100</v>
      </c>
      <c r="R42" s="173">
        <f t="shared" si="5"/>
        <v>100</v>
      </c>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row>
    <row r="43" spans="1:41" ht="15.75" customHeight="1">
      <c r="A43" s="139" t="s">
        <v>620</v>
      </c>
      <c r="B43" s="168">
        <f>('Pivot Table for Data Exchange'!$C$79)*100</f>
        <v>49.079771965928089</v>
      </c>
      <c r="C43" s="168">
        <f>('Pivot Table for Data Exchange'!$C$82)*100</f>
        <v>0</v>
      </c>
      <c r="D43" s="169">
        <f t="shared" si="6"/>
        <v>50.920228034071911</v>
      </c>
      <c r="E43" s="168">
        <f>('Pivot Table for Data Exchange'!$C$85)*100</f>
        <v>50.920228034071911</v>
      </c>
      <c r="F43" s="168">
        <f>('Pivot Table for Data Exchange'!$C$88)*100</f>
        <v>0</v>
      </c>
      <c r="G43" s="176">
        <f>('Pivot Table for Data Exchange'!$C$91)*100</f>
        <v>0</v>
      </c>
      <c r="H43" s="168">
        <f>('Pivot Table for Data Exchange'!$C$94)*100</f>
        <v>0</v>
      </c>
      <c r="I43" s="174" t="s">
        <v>620</v>
      </c>
      <c r="J43" s="168">
        <f>('Pivot Table for Data Exchange'!$C$97)*100</f>
        <v>49.689041389663309</v>
      </c>
      <c r="K43" s="168">
        <f>('Pivot Table for Data Exchange'!$C$100)*100</f>
        <v>0</v>
      </c>
      <c r="L43" s="169">
        <f t="shared" si="7"/>
        <v>50.310958610336698</v>
      </c>
      <c r="M43" s="168">
        <f>('Pivot Table for Data Exchange'!$C$103)*100</f>
        <v>50.310958610336698</v>
      </c>
      <c r="N43" s="168">
        <f>('Pivot Table for Data Exchange'!$C$106)*100</f>
        <v>0</v>
      </c>
      <c r="O43" s="176">
        <f>('Pivot Table for Data Exchange'!$C$109)*100</f>
        <v>0</v>
      </c>
      <c r="P43" s="168">
        <f>('Pivot Table for Data Exchange'!$C$112)*100</f>
        <v>0</v>
      </c>
      <c r="Q43" s="173">
        <f t="shared" si="4"/>
        <v>100</v>
      </c>
      <c r="R43" s="173">
        <f t="shared" si="5"/>
        <v>100</v>
      </c>
      <c r="S43" s="222"/>
      <c r="T43" s="226"/>
      <c r="U43" s="222"/>
      <c r="V43" s="222"/>
      <c r="W43" s="222"/>
      <c r="X43" s="222"/>
      <c r="Y43" s="222"/>
      <c r="Z43" s="222"/>
      <c r="AA43" s="222"/>
      <c r="AB43" s="222"/>
      <c r="AC43" s="222"/>
      <c r="AD43" s="222"/>
      <c r="AE43" s="222"/>
      <c r="AF43" s="222"/>
      <c r="AG43" s="222"/>
      <c r="AH43" s="222"/>
      <c r="AI43" s="222"/>
      <c r="AJ43" s="222"/>
      <c r="AK43" s="222"/>
      <c r="AL43" s="222"/>
      <c r="AM43" s="222"/>
      <c r="AN43" s="222"/>
      <c r="AO43" s="222"/>
    </row>
    <row r="44" spans="1:41" ht="15.75" customHeight="1">
      <c r="A44" s="139" t="s">
        <v>657</v>
      </c>
      <c r="B44" s="168">
        <f>('Pivot Table for Data Exchange'!$C$115)*100</f>
        <v>0</v>
      </c>
      <c r="C44" s="168">
        <f>('Pivot Table for Data Exchange'!$C$118)*100</f>
        <v>0</v>
      </c>
      <c r="D44" s="169">
        <f t="shared" si="6"/>
        <v>0</v>
      </c>
      <c r="E44" s="168">
        <f>('Pivot Table for Data Exchange'!$C$121)*100</f>
        <v>0</v>
      </c>
      <c r="F44" s="168">
        <f>('Pivot Table for Data Exchange'!$C$124)*100</f>
        <v>0</v>
      </c>
      <c r="G44" s="176">
        <f>('Pivot Table for Data Exchange'!$C$127)*100</f>
        <v>0</v>
      </c>
      <c r="H44" s="168">
        <f>('Pivot Table for Data Exchange'!$C$130)*100</f>
        <v>0</v>
      </c>
      <c r="I44" s="174" t="s">
        <v>657</v>
      </c>
      <c r="J44" s="168">
        <f>('Pivot Table for Data Exchange'!$C$133)*100</f>
        <v>0</v>
      </c>
      <c r="K44" s="168">
        <f>('Pivot Table for Data Exchange'!$C$136)*100</f>
        <v>0</v>
      </c>
      <c r="L44" s="169">
        <f t="shared" si="7"/>
        <v>0</v>
      </c>
      <c r="M44" s="168">
        <f>('Pivot Table for Data Exchange'!$C$139)*100</f>
        <v>0</v>
      </c>
      <c r="N44" s="168">
        <f>('Pivot Table for Data Exchange'!$C$142)*100</f>
        <v>0</v>
      </c>
      <c r="O44" s="175">
        <f>('Pivot Table for Data Exchange'!$C$145)*100</f>
        <v>0</v>
      </c>
      <c r="P44" s="168">
        <f>('Pivot Table for Data Exchange'!$C$148)*100</f>
        <v>0</v>
      </c>
      <c r="Q44" s="173">
        <f t="shared" si="4"/>
        <v>0</v>
      </c>
      <c r="R44" s="173">
        <f t="shared" si="5"/>
        <v>0</v>
      </c>
      <c r="S44" s="222"/>
      <c r="U44" s="222"/>
      <c r="V44" s="222"/>
      <c r="W44" s="222"/>
      <c r="X44" s="222"/>
      <c r="Y44" s="222"/>
      <c r="Z44" s="222"/>
      <c r="AA44" s="222"/>
      <c r="AB44" s="222"/>
      <c r="AC44" s="222"/>
      <c r="AD44" s="222"/>
      <c r="AE44" s="222"/>
      <c r="AF44" s="222"/>
      <c r="AG44" s="222"/>
      <c r="AH44" s="222"/>
      <c r="AI44" s="222"/>
      <c r="AJ44" s="222"/>
      <c r="AK44" s="222"/>
      <c r="AL44" s="222"/>
      <c r="AM44" s="222"/>
      <c r="AN44" s="222"/>
      <c r="AO44" s="222"/>
    </row>
    <row r="45" spans="1:41" ht="10.5" customHeight="1">
      <c r="B45" s="168"/>
      <c r="C45" s="168"/>
      <c r="D45" s="169"/>
      <c r="E45" s="168"/>
      <c r="F45" s="168"/>
      <c r="G45" s="176"/>
      <c r="H45" s="168"/>
      <c r="I45" s="174"/>
      <c r="J45" s="168"/>
      <c r="K45" s="168"/>
      <c r="L45" s="169"/>
      <c r="M45" s="168"/>
      <c r="N45" s="168"/>
      <c r="O45" s="176"/>
      <c r="P45" s="168"/>
      <c r="Q45" s="173">
        <f t="shared" si="4"/>
        <v>0</v>
      </c>
      <c r="R45" s="173">
        <f t="shared" si="5"/>
        <v>0</v>
      </c>
      <c r="S45" s="222"/>
      <c r="U45" s="222"/>
      <c r="V45" s="222"/>
      <c r="W45" s="222"/>
      <c r="X45" s="222"/>
      <c r="Y45" s="222"/>
      <c r="Z45" s="222"/>
      <c r="AA45" s="222"/>
      <c r="AB45" s="222"/>
      <c r="AC45" s="222"/>
      <c r="AD45" s="222"/>
      <c r="AE45" s="222"/>
      <c r="AF45" s="222"/>
      <c r="AG45" s="222"/>
      <c r="AH45" s="222"/>
      <c r="AI45" s="222"/>
      <c r="AJ45" s="222"/>
      <c r="AK45" s="222"/>
      <c r="AL45" s="222"/>
      <c r="AM45" s="222"/>
      <c r="AN45" s="222"/>
      <c r="AO45" s="222"/>
    </row>
    <row r="46" spans="1:41" ht="15.75" customHeight="1">
      <c r="A46" s="139" t="s">
        <v>622</v>
      </c>
      <c r="B46" s="168">
        <f>('Pivot Table for Data Exchange'!$C$151)*100</f>
        <v>56.986453213159734</v>
      </c>
      <c r="C46" s="168">
        <f>('Pivot Table for Data Exchange'!$C$154)*100</f>
        <v>0.91082969434459027</v>
      </c>
      <c r="D46" s="169">
        <f t="shared" ref="D46:D47" si="8">SUM(E46:G46)</f>
        <v>42.102717092495674</v>
      </c>
      <c r="E46" s="168">
        <f>('Pivot Table for Data Exchange'!$C$157)*100</f>
        <v>42.102717092495674</v>
      </c>
      <c r="F46" s="168">
        <f>('Pivot Table for Data Exchange'!$C$160)*100</f>
        <v>0</v>
      </c>
      <c r="G46" s="176">
        <f>('Pivot Table for Data Exchange'!$C$163)*100</f>
        <v>0</v>
      </c>
      <c r="H46" s="168">
        <f>('Pivot Table for Data Exchange'!$C$166)*100</f>
        <v>0</v>
      </c>
      <c r="I46" s="174" t="s">
        <v>622</v>
      </c>
      <c r="J46" s="168">
        <f>('Pivot Table for Data Exchange'!$C$169)*100</f>
        <v>51.679182198872688</v>
      </c>
      <c r="K46" s="168">
        <f>('Pivot Table for Data Exchange'!$C$172)*100</f>
        <v>16.344036151905218</v>
      </c>
      <c r="L46" s="169">
        <f t="shared" ref="L46:L47" si="9">SUM(M46:O46)</f>
        <v>31.97678164922209</v>
      </c>
      <c r="M46" s="168">
        <f>('Pivot Table for Data Exchange'!$C$175)*100</f>
        <v>31.97678164922209</v>
      </c>
      <c r="N46" s="168">
        <f>('Pivot Table for Data Exchange'!$C$178)*100</f>
        <v>0</v>
      </c>
      <c r="O46" s="176">
        <f>('Pivot Table for Data Exchange'!$C$181)*100</f>
        <v>0</v>
      </c>
      <c r="P46" s="168">
        <f>('Pivot Table for Data Exchange'!$C$184)*100</f>
        <v>0</v>
      </c>
      <c r="Q46" s="173">
        <f t="shared" si="4"/>
        <v>100</v>
      </c>
      <c r="R46" s="173">
        <f t="shared" si="5"/>
        <v>100</v>
      </c>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row>
    <row r="47" spans="1:41" ht="15.75" customHeight="1">
      <c r="A47" s="139" t="s">
        <v>623</v>
      </c>
      <c r="B47" s="168">
        <f>('Pivot Table for Data Exchange'!$C$187)*100</f>
        <v>58.820146570879729</v>
      </c>
      <c r="C47" s="168">
        <f>('Pivot Table for Data Exchange'!$C$190)*100</f>
        <v>1.9635118398840599</v>
      </c>
      <c r="D47" s="169">
        <f t="shared" si="8"/>
        <v>39.216341589236215</v>
      </c>
      <c r="E47" s="168">
        <f>('Pivot Table for Data Exchange'!$C$193)*100</f>
        <v>39.097812276063905</v>
      </c>
      <c r="F47" s="168">
        <f>('Pivot Table for Data Exchange'!$C$196)*100</f>
        <v>5.9615928894455716E-2</v>
      </c>
      <c r="G47" s="176">
        <f>('Pivot Table for Data Exchange'!$C$199)*100</f>
        <v>5.8913384277854391E-2</v>
      </c>
      <c r="H47" s="168">
        <f>('Pivot Table for Data Exchange'!$C$202)*100</f>
        <v>0</v>
      </c>
      <c r="I47" s="174" t="s">
        <v>623</v>
      </c>
      <c r="J47" s="168">
        <f>('Pivot Table for Data Exchange'!$C$205)*100</f>
        <v>46.428697837397799</v>
      </c>
      <c r="K47" s="168">
        <f>('Pivot Table for Data Exchange'!$C$208)*100</f>
        <v>1.7178116778159254</v>
      </c>
      <c r="L47" s="169">
        <f t="shared" si="9"/>
        <v>51.853490484786278</v>
      </c>
      <c r="M47" s="168">
        <f>('Pivot Table for Data Exchange'!$C$211)*100</f>
        <v>51.567385174435756</v>
      </c>
      <c r="N47" s="168">
        <f>('Pivot Table for Data Exchange'!$C$214)*100</f>
        <v>0</v>
      </c>
      <c r="O47" s="176">
        <f>('Pivot Table for Data Exchange'!$C$217)*100</f>
        <v>0.28610531035052322</v>
      </c>
      <c r="P47" s="168">
        <f>('Pivot Table for Data Exchange'!$C$220)*100</f>
        <v>0</v>
      </c>
      <c r="Q47" s="173">
        <f t="shared" si="4"/>
        <v>100</v>
      </c>
      <c r="R47" s="173">
        <f t="shared" si="5"/>
        <v>100</v>
      </c>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row>
    <row r="48" spans="1:41" ht="15.75" customHeight="1">
      <c r="A48" s="139" t="s">
        <v>624</v>
      </c>
      <c r="B48" s="168">
        <f>('Pivot Table for Data Exchange'!$C$223)*100</f>
        <v>67.226786158825035</v>
      </c>
      <c r="C48" s="168">
        <f>('Pivot Table for Data Exchange'!$C$226)*100</f>
        <v>0</v>
      </c>
      <c r="D48" s="169">
        <f>SUM(E48:G48)</f>
        <v>32.773213841174972</v>
      </c>
      <c r="E48" s="168">
        <f>('Pivot Table for Data Exchange'!$C$229)*100</f>
        <v>32.773213841174972</v>
      </c>
      <c r="F48" s="168">
        <f>('Pivot Table for Data Exchange'!$C$232)*100</f>
        <v>0</v>
      </c>
      <c r="G48" s="176">
        <f>('Pivot Table for Data Exchange'!$C$235)*100</f>
        <v>0</v>
      </c>
      <c r="H48" s="168">
        <f>('Pivot Table for Data Exchange'!$C$238)*100</f>
        <v>0</v>
      </c>
      <c r="I48" s="174" t="s">
        <v>624</v>
      </c>
      <c r="J48" s="168">
        <f>('Pivot Table for Data Exchange'!$C$241)*100</f>
        <v>81.099033816425163</v>
      </c>
      <c r="K48" s="168">
        <f>('Pivot Table for Data Exchange'!$C$244)*100</f>
        <v>0</v>
      </c>
      <c r="L48" s="169">
        <f>SUM(M48:O48)</f>
        <v>18.900966183574834</v>
      </c>
      <c r="M48" s="168">
        <f>('Pivot Table for Data Exchange'!$C$247)*100</f>
        <v>18.900966183574834</v>
      </c>
      <c r="N48" s="168">
        <f>('Pivot Table for Data Exchange'!$C$250)*100</f>
        <v>0</v>
      </c>
      <c r="O48" s="176">
        <f>('Pivot Table for Data Exchange'!$C$253)*100</f>
        <v>0</v>
      </c>
      <c r="P48" s="168">
        <f>('Pivot Table for Data Exchange'!$C$256)*100</f>
        <v>0</v>
      </c>
      <c r="Q48" s="173">
        <f t="shared" si="4"/>
        <v>100</v>
      </c>
      <c r="R48" s="173">
        <f t="shared" si="5"/>
        <v>100</v>
      </c>
      <c r="S48" s="222"/>
      <c r="T48" s="226"/>
      <c r="U48" s="222"/>
      <c r="V48" s="222"/>
      <c r="W48" s="222"/>
      <c r="X48" s="222"/>
      <c r="Y48" s="222"/>
      <c r="Z48" s="222"/>
      <c r="AA48" s="222"/>
      <c r="AB48" s="222"/>
      <c r="AC48" s="222"/>
      <c r="AD48" s="222"/>
      <c r="AE48" s="222"/>
      <c r="AF48" s="222"/>
      <c r="AG48" s="222"/>
      <c r="AH48" s="222"/>
      <c r="AI48" s="222"/>
      <c r="AJ48" s="222"/>
      <c r="AK48" s="222"/>
      <c r="AL48" s="222"/>
      <c r="AM48" s="222"/>
      <c r="AN48" s="222"/>
      <c r="AO48" s="222"/>
    </row>
    <row r="49" spans="1:41" ht="15.75" customHeight="1">
      <c r="A49" s="139" t="s">
        <v>625</v>
      </c>
      <c r="B49" s="168">
        <f>('Pivot Table for Data Exchange'!$C$259)*100</f>
        <v>49.269347236723796</v>
      </c>
      <c r="C49" s="168">
        <f>('Pivot Table for Data Exchange'!$C$262)*100</f>
        <v>0.92192252725226098</v>
      </c>
      <c r="D49" s="169">
        <f>SUM(E49:G49)</f>
        <v>49.808730236023941</v>
      </c>
      <c r="E49" s="168">
        <f>('Pivot Table for Data Exchange'!$C$265)*100</f>
        <v>49.766603325308076</v>
      </c>
      <c r="F49" s="168">
        <f>('Pivot Table for Data Exchange'!$C$268)*100</f>
        <v>4.2126910715863046E-2</v>
      </c>
      <c r="G49" s="176">
        <f>('Pivot Table for Data Exchange'!$C$271)*100</f>
        <v>0</v>
      </c>
      <c r="H49" s="168">
        <f>('Pivot Table for Data Exchange'!$C$274)*100</f>
        <v>0</v>
      </c>
      <c r="I49" s="174" t="s">
        <v>625</v>
      </c>
      <c r="J49" s="168">
        <f>('Pivot Table for Data Exchange'!$C$277)*100</f>
        <v>51.175270652231887</v>
      </c>
      <c r="K49" s="168">
        <f>('Pivot Table for Data Exchange'!$C$280)*100</f>
        <v>7.846914831209002</v>
      </c>
      <c r="L49" s="169">
        <f>SUM(M49:O49)</f>
        <v>40.977814516559114</v>
      </c>
      <c r="M49" s="168">
        <f>('Pivot Table for Data Exchange'!$C$283)*100</f>
        <v>40.876486587382004</v>
      </c>
      <c r="N49" s="168">
        <f>('Pivot Table for Data Exchange'!$C$286)*100</f>
        <v>0.10132792917711055</v>
      </c>
      <c r="O49" s="176">
        <f>('Pivot Table for Data Exchange'!$C$289)*100</f>
        <v>0</v>
      </c>
      <c r="P49" s="168">
        <f>('Pivot Table for Data Exchange'!$C$292)*100</f>
        <v>0</v>
      </c>
      <c r="Q49" s="173">
        <f t="shared" si="4"/>
        <v>100</v>
      </c>
      <c r="R49" s="173">
        <f t="shared" si="5"/>
        <v>100</v>
      </c>
      <c r="S49" s="222"/>
      <c r="U49" s="222"/>
      <c r="V49" s="222"/>
      <c r="W49" s="222"/>
      <c r="X49" s="222"/>
      <c r="Y49" s="222"/>
      <c r="Z49" s="222"/>
      <c r="AA49" s="222"/>
      <c r="AB49" s="222"/>
      <c r="AC49" s="222"/>
      <c r="AD49" s="222"/>
      <c r="AE49" s="222"/>
      <c r="AF49" s="222"/>
      <c r="AG49" s="222"/>
      <c r="AH49" s="222"/>
      <c r="AI49" s="222"/>
      <c r="AJ49" s="222"/>
      <c r="AK49" s="222"/>
      <c r="AL49" s="222"/>
      <c r="AM49" s="222"/>
      <c r="AN49" s="222"/>
      <c r="AO49" s="222"/>
    </row>
    <row r="50" spans="1:41" ht="12" customHeight="1">
      <c r="B50" s="168"/>
      <c r="C50" s="168"/>
      <c r="D50" s="169"/>
      <c r="E50" s="168"/>
      <c r="F50" s="168"/>
      <c r="G50" s="176"/>
      <c r="H50" s="168"/>
      <c r="I50" s="174"/>
      <c r="J50" s="168"/>
      <c r="K50" s="168"/>
      <c r="L50" s="169"/>
      <c r="M50" s="168"/>
      <c r="N50" s="168"/>
      <c r="O50" s="176"/>
      <c r="P50" s="168"/>
      <c r="Q50" s="173">
        <f t="shared" si="4"/>
        <v>0</v>
      </c>
      <c r="R50" s="173">
        <f t="shared" si="5"/>
        <v>0</v>
      </c>
      <c r="S50" s="222"/>
      <c r="U50" s="222"/>
      <c r="V50" s="222"/>
      <c r="W50" s="222"/>
      <c r="X50" s="222"/>
      <c r="Y50" s="222"/>
      <c r="Z50" s="222"/>
      <c r="AA50" s="222"/>
      <c r="AB50" s="222"/>
      <c r="AC50" s="222"/>
      <c r="AD50" s="222"/>
      <c r="AE50" s="222"/>
      <c r="AF50" s="222"/>
      <c r="AG50" s="222"/>
      <c r="AH50" s="222"/>
      <c r="AI50" s="222"/>
      <c r="AJ50" s="222"/>
      <c r="AK50" s="222"/>
      <c r="AL50" s="222"/>
      <c r="AM50" s="222"/>
      <c r="AN50" s="222"/>
      <c r="AO50" s="222"/>
    </row>
    <row r="51" spans="1:41" ht="15.75" customHeight="1">
      <c r="A51" s="139" t="s">
        <v>626</v>
      </c>
      <c r="B51" s="168">
        <f>('Pivot Table for Data Exchange'!$C$295)*100</f>
        <v>51.340709418623</v>
      </c>
      <c r="C51" s="168">
        <f>('Pivot Table for Data Exchange'!$C$298)*100</f>
        <v>3.3545602070669713</v>
      </c>
      <c r="D51" s="169">
        <f>SUM(E51:G51)</f>
        <v>44.989873927135704</v>
      </c>
      <c r="E51" s="168">
        <f>('Pivot Table for Data Exchange'!$C$301)*100</f>
        <v>44.348580105994436</v>
      </c>
      <c r="F51" s="168">
        <f>('Pivot Table for Data Exchange'!$C$304)*100</f>
        <v>0.64129382114127131</v>
      </c>
      <c r="G51" s="179">
        <f>('Pivot Table for Data Exchange'!$C$307)*100</f>
        <v>0</v>
      </c>
      <c r="H51" s="168">
        <f>('Pivot Table for Data Exchange'!$C$310)*100</f>
        <v>0.31485644717432626</v>
      </c>
      <c r="I51" s="174" t="s">
        <v>626</v>
      </c>
      <c r="J51" s="168">
        <f>('Pivot Table for Data Exchange'!$C$313)*100</f>
        <v>52.648458074929913</v>
      </c>
      <c r="K51" s="168">
        <f>('Pivot Table for Data Exchange'!$C$316)*100</f>
        <v>2.082979356044516</v>
      </c>
      <c r="L51" s="169">
        <f>SUM(M51:O51)</f>
        <v>45.239890408631389</v>
      </c>
      <c r="M51" s="168">
        <f>('Pivot Table for Data Exchange'!$C$319)*100</f>
        <v>44.646801461218253</v>
      </c>
      <c r="N51" s="168">
        <f>('Pivot Table for Data Exchange'!$C$322)*100</f>
        <v>0.593088947413134</v>
      </c>
      <c r="O51" s="176">
        <f>('Pivot Table for Data Exchange'!$C$325)*100</f>
        <v>0</v>
      </c>
      <c r="P51" s="180">
        <f>('Pivot Table for Data Exchange'!$C$328)*100</f>
        <v>2.8672160394189111E-2</v>
      </c>
      <c r="Q51" s="173">
        <f t="shared" si="4"/>
        <v>100</v>
      </c>
      <c r="R51" s="173">
        <f t="shared" si="5"/>
        <v>100.00000000000001</v>
      </c>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row>
    <row r="52" spans="1:41" ht="15.75" customHeight="1">
      <c r="A52" s="139" t="s">
        <v>627</v>
      </c>
      <c r="B52" s="168">
        <f>('Pivot Table for Data Exchange'!$C$331)*100</f>
        <v>48.036893919795645</v>
      </c>
      <c r="C52" s="168">
        <f>('Pivot Table for Data Exchange'!$C$334)*100</f>
        <v>0.34991373357424105</v>
      </c>
      <c r="D52" s="169">
        <f>SUM(E52:G52)</f>
        <v>51.613192346630107</v>
      </c>
      <c r="E52" s="168">
        <f>('Pivot Table for Data Exchange'!$C$337)*100</f>
        <v>51.610422043465242</v>
      </c>
      <c r="F52" s="180">
        <f>('Pivot Table for Data Exchange'!$C$340)*100</f>
        <v>2.7703031648676668E-3</v>
      </c>
      <c r="G52" s="175">
        <f>('Pivot Table for Data Exchange'!$C$343)*100</f>
        <v>0</v>
      </c>
      <c r="H52" s="168">
        <f>('Pivot Table for Data Exchange'!$C$346)*100</f>
        <v>0</v>
      </c>
      <c r="I52" s="174" t="s">
        <v>627</v>
      </c>
      <c r="J52" s="168">
        <f>('Pivot Table for Data Exchange'!$C$349)*100</f>
        <v>52.042528724430625</v>
      </c>
      <c r="K52" s="168">
        <f>('Pivot Table for Data Exchange'!$C$352)*100</f>
        <v>1.5308001910089364</v>
      </c>
      <c r="L52" s="169">
        <f>SUM(M52:O52)</f>
        <v>46.426671084560432</v>
      </c>
      <c r="M52" s="168">
        <f>('Pivot Table for Data Exchange'!$C$355)*100</f>
        <v>46.414391938643249</v>
      </c>
      <c r="N52" s="180">
        <f>('Pivot Table for Data Exchange'!$C$358)*100</f>
        <v>1.2279145917183982E-2</v>
      </c>
      <c r="O52" s="176">
        <f>('Pivot Table for Data Exchange'!$C$361)*100</f>
        <v>0</v>
      </c>
      <c r="P52" s="168">
        <f>('Pivot Table for Data Exchange'!$C$364)*100</f>
        <v>0</v>
      </c>
      <c r="Q52" s="173">
        <f t="shared" si="4"/>
        <v>100</v>
      </c>
      <c r="R52" s="173">
        <f t="shared" si="5"/>
        <v>100</v>
      </c>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row>
    <row r="53" spans="1:41" ht="15.75" customHeight="1">
      <c r="A53" s="139" t="s">
        <v>628</v>
      </c>
      <c r="B53" s="168">
        <f>('Pivot Table for Data Exchange'!$C$367)*100</f>
        <v>0</v>
      </c>
      <c r="C53" s="168">
        <f>('Pivot Table for Data Exchange'!$C$370)*100</f>
        <v>0</v>
      </c>
      <c r="D53" s="169">
        <f>SUM(E53:G53)</f>
        <v>0</v>
      </c>
      <c r="E53" s="168">
        <f>('Pivot Table for Data Exchange'!$C$373)*100</f>
        <v>0</v>
      </c>
      <c r="F53" s="168">
        <f>('Pivot Table for Data Exchange'!$C$376)*100</f>
        <v>0</v>
      </c>
      <c r="G53" s="176">
        <f>('Pivot Table for Data Exchange'!$C$379)*100</f>
        <v>0</v>
      </c>
      <c r="H53" s="168">
        <f>('Pivot Table for Data Exchange'!$C$382)*100</f>
        <v>0</v>
      </c>
      <c r="I53" s="174" t="s">
        <v>628</v>
      </c>
      <c r="J53" s="168">
        <f>('Pivot Table for Data Exchange'!$C$385)*100</f>
        <v>0</v>
      </c>
      <c r="K53" s="168">
        <f>('Pivot Table for Data Exchange'!$C$388)*100</f>
        <v>0</v>
      </c>
      <c r="L53" s="169">
        <f>SUM(M53:O53)</f>
        <v>0</v>
      </c>
      <c r="M53" s="168">
        <f>('Pivot Table for Data Exchange'!$C$391)*100</f>
        <v>0</v>
      </c>
      <c r="N53" s="168">
        <f>('Pivot Table for Data Exchange'!$C$394)*100</f>
        <v>0</v>
      </c>
      <c r="O53" s="176">
        <f>('Pivot Table for Data Exchange'!$C$397)*100</f>
        <v>0</v>
      </c>
      <c r="P53" s="168">
        <f>('Pivot Table for Data Exchange'!$C$400)*100</f>
        <v>0</v>
      </c>
      <c r="Q53" s="173">
        <f t="shared" si="4"/>
        <v>0</v>
      </c>
      <c r="R53" s="173">
        <f t="shared" si="5"/>
        <v>0</v>
      </c>
      <c r="S53" s="222"/>
      <c r="T53" s="226"/>
      <c r="U53" s="222"/>
      <c r="V53" s="222"/>
      <c r="W53" s="222"/>
      <c r="X53" s="222"/>
      <c r="Y53" s="222"/>
      <c r="Z53" s="222"/>
      <c r="AA53" s="222"/>
      <c r="AB53" s="222"/>
      <c r="AC53" s="222"/>
      <c r="AD53" s="222"/>
      <c r="AE53" s="222"/>
      <c r="AF53" s="222"/>
      <c r="AG53" s="222"/>
      <c r="AH53" s="222"/>
      <c r="AI53" s="222"/>
      <c r="AJ53" s="222"/>
      <c r="AK53" s="222"/>
      <c r="AL53" s="222"/>
      <c r="AM53" s="222"/>
      <c r="AN53" s="222"/>
      <c r="AO53" s="222"/>
    </row>
    <row r="54" spans="1:41" ht="15.75" customHeight="1">
      <c r="A54" s="139" t="s">
        <v>629</v>
      </c>
      <c r="B54" s="168">
        <f>('Pivot Table for Data Exchange'!$C$403)*100</f>
        <v>56.016524697619765</v>
      </c>
      <c r="C54" s="168">
        <f>('Pivot Table for Data Exchange'!$C$406)*100</f>
        <v>1.2682388211608457</v>
      </c>
      <c r="D54" s="169">
        <f>SUM(E54:G54)</f>
        <v>42.715236481219392</v>
      </c>
      <c r="E54" s="168">
        <f>('Pivot Table for Data Exchange'!$C$409)*100</f>
        <v>42.713481693855748</v>
      </c>
      <c r="F54" s="168">
        <f>('Pivot Table for Data Exchange'!$C$412)*100</f>
        <v>1.7547873636412107E-3</v>
      </c>
      <c r="G54" s="176">
        <f>('Pivot Table for Data Exchange'!$C$415)*100</f>
        <v>0</v>
      </c>
      <c r="H54" s="168">
        <f>('Pivot Table for Data Exchange'!$C$418)*100</f>
        <v>0</v>
      </c>
      <c r="I54" s="174" t="s">
        <v>629</v>
      </c>
      <c r="J54" s="168">
        <f>('Pivot Table for Data Exchange'!$C$421)*100</f>
        <v>47.973456265377429</v>
      </c>
      <c r="K54" s="168">
        <f>('Pivot Table for Data Exchange'!$C$424)*100</f>
        <v>7.4766600132568879</v>
      </c>
      <c r="L54" s="169">
        <f>SUM(M54:O54)</f>
        <v>44.549883721365688</v>
      </c>
      <c r="M54" s="168">
        <f>('Pivot Table for Data Exchange'!$C$427)*100</f>
        <v>42.08762278536949</v>
      </c>
      <c r="N54" s="168">
        <f>('Pivot Table for Data Exchange'!$C$430)*100</f>
        <v>2.4622609359961953</v>
      </c>
      <c r="O54" s="176">
        <f>('Pivot Table for Data Exchange'!$C$433)*100</f>
        <v>0</v>
      </c>
      <c r="P54" s="168">
        <f>('Pivot Table for Data Exchange'!$C$436)*100</f>
        <v>0</v>
      </c>
      <c r="Q54" s="173">
        <f t="shared" si="4"/>
        <v>100</v>
      </c>
      <c r="R54" s="173">
        <f t="shared" si="5"/>
        <v>100</v>
      </c>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row>
    <row r="55" spans="1:41" ht="14.25" customHeight="1">
      <c r="B55" s="168"/>
      <c r="C55" s="168"/>
      <c r="D55" s="169"/>
      <c r="E55" s="168"/>
      <c r="F55" s="168"/>
      <c r="G55" s="176"/>
      <c r="H55" s="168"/>
      <c r="I55" s="174"/>
      <c r="J55" s="168"/>
      <c r="K55" s="168"/>
      <c r="L55" s="169"/>
      <c r="M55" s="168"/>
      <c r="N55" s="168"/>
      <c r="O55" s="176"/>
      <c r="P55" s="168"/>
      <c r="Q55" s="173">
        <f t="shared" si="4"/>
        <v>0</v>
      </c>
      <c r="R55" s="173">
        <f t="shared" si="5"/>
        <v>0</v>
      </c>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row>
    <row r="56" spans="1:41" ht="15.75" customHeight="1">
      <c r="A56" s="139" t="s">
        <v>630</v>
      </c>
      <c r="B56" s="168">
        <f>('Pivot Table for Data Exchange'!$C$439)*100</f>
        <v>75.382897343957254</v>
      </c>
      <c r="C56" s="168">
        <f>('Pivot Table for Data Exchange'!$C$442)*100</f>
        <v>1.8676191650124276</v>
      </c>
      <c r="D56" s="169">
        <f>SUM(E56:G56)</f>
        <v>22.247876472027567</v>
      </c>
      <c r="E56" s="168">
        <f>('Pivot Table for Data Exchange'!$C$445)*100</f>
        <v>19.638287342724627</v>
      </c>
      <c r="F56" s="195">
        <f>('Pivot Table for Data Exchange'!$C$448)*100</f>
        <v>0</v>
      </c>
      <c r="G56" s="176">
        <f>('Pivot Table for Data Exchange'!$C$451)*100</f>
        <v>2.6095891293029383</v>
      </c>
      <c r="H56" s="168">
        <f>('Pivot Table for Data Exchange'!$C$454)*100</f>
        <v>0.50160701900274673</v>
      </c>
      <c r="I56" s="174" t="s">
        <v>630</v>
      </c>
      <c r="J56" s="168">
        <f>('Pivot Table for Data Exchange'!$C$457)*100</f>
        <v>54.294937970294967</v>
      </c>
      <c r="K56" s="168">
        <f>('Pivot Table for Data Exchange'!$C$460)*100</f>
        <v>1.10573394358549</v>
      </c>
      <c r="L56" s="169">
        <f>SUM(M56:O56)</f>
        <v>41.746379362815588</v>
      </c>
      <c r="M56" s="168">
        <f>('Pivot Table for Data Exchange'!$C$463)*100</f>
        <v>39.084979800812739</v>
      </c>
      <c r="N56" s="168">
        <f>('Pivot Table for Data Exchange'!$C$466)*100</f>
        <v>0.17722772868045902</v>
      </c>
      <c r="O56" s="176">
        <f>('Pivot Table for Data Exchange'!$C$469)*100</f>
        <v>2.4841718333223932</v>
      </c>
      <c r="P56" s="168">
        <f>('Pivot Table for Data Exchange'!$C$472)*100</f>
        <v>2.8529487233039545</v>
      </c>
      <c r="Q56" s="173">
        <f t="shared" si="4"/>
        <v>100</v>
      </c>
      <c r="R56" s="173">
        <f t="shared" si="5"/>
        <v>100</v>
      </c>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row>
    <row r="57" spans="1:41" ht="15.75" customHeight="1">
      <c r="A57" s="139" t="s">
        <v>631</v>
      </c>
      <c r="B57" s="168">
        <f>('Pivot Table for Data Exchange'!$C$475)*100</f>
        <v>45.451672303711426</v>
      </c>
      <c r="C57" s="168">
        <f>('Pivot Table for Data Exchange'!$C$478)*100</f>
        <v>0.64897248281352726</v>
      </c>
      <c r="D57" s="169">
        <f>SUM(E57:G57)</f>
        <v>53.899355213475047</v>
      </c>
      <c r="E57" s="168">
        <f>('Pivot Table for Data Exchange'!$C$481)*100</f>
        <v>50.629769909140329</v>
      </c>
      <c r="F57" s="168">
        <f>('Pivot Table for Data Exchange'!$C$484)*100</f>
        <v>2.7935375854988664</v>
      </c>
      <c r="G57" s="176">
        <f>('Pivot Table for Data Exchange'!$C$487)*100</f>
        <v>0.47604771883584857</v>
      </c>
      <c r="H57" s="168">
        <f>('Pivot Table for Data Exchange'!$C$490)*100</f>
        <v>0</v>
      </c>
      <c r="I57" s="174" t="s">
        <v>631</v>
      </c>
      <c r="J57" s="168">
        <f>('Pivot Table for Data Exchange'!$C$493)*100</f>
        <v>50.246541267308885</v>
      </c>
      <c r="K57" s="168">
        <f>('Pivot Table for Data Exchange'!$C$496)*100</f>
        <v>1.0902162925795569</v>
      </c>
      <c r="L57" s="169">
        <f>SUM(M57:O57)</f>
        <v>48.66324244011156</v>
      </c>
      <c r="M57" s="168">
        <f>('Pivot Table for Data Exchange'!$C$499)*100</f>
        <v>46.298303515972286</v>
      </c>
      <c r="N57" s="168">
        <f>('Pivot Table for Data Exchange'!$C$502)*100</f>
        <v>1.8426276625543474</v>
      </c>
      <c r="O57" s="176">
        <f>('Pivot Table for Data Exchange'!$C$505)*100</f>
        <v>0.52231126158492769</v>
      </c>
      <c r="P57" s="168">
        <f>('Pivot Table for Data Exchange'!$C$508)*100</f>
        <v>0</v>
      </c>
      <c r="Q57" s="173">
        <f t="shared" si="4"/>
        <v>100</v>
      </c>
      <c r="R57" s="173">
        <f t="shared" si="5"/>
        <v>100</v>
      </c>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row>
    <row r="58" spans="1:41" ht="15.75" customHeight="1">
      <c r="A58" s="139" t="s">
        <v>632</v>
      </c>
      <c r="B58" s="168">
        <f>('Pivot Table for Data Exchange'!$C$511)*100</f>
        <v>54.887822444914903</v>
      </c>
      <c r="C58" s="168">
        <f>('Pivot Table for Data Exchange'!$C$514)*100</f>
        <v>1.0278120041859367</v>
      </c>
      <c r="D58" s="169">
        <f>SUM(E58:G58)</f>
        <v>44.08436555089915</v>
      </c>
      <c r="E58" s="168">
        <f>('Pivot Table for Data Exchange'!$C$517)*100</f>
        <v>27.633857740848082</v>
      </c>
      <c r="F58" s="168">
        <f>('Pivot Table for Data Exchange'!$C$520)*100</f>
        <v>16.450357106688333</v>
      </c>
      <c r="G58" s="176">
        <f>('Pivot Table for Data Exchange'!$C$523)*100</f>
        <v>1.5070336273455471E-4</v>
      </c>
      <c r="H58" s="168">
        <f>('Pivot Table for Data Exchange'!$C$526)*100</f>
        <v>0</v>
      </c>
      <c r="I58" s="174" t="s">
        <v>632</v>
      </c>
      <c r="J58" s="168">
        <f>('Pivot Table for Data Exchange'!$C$529)*100</f>
        <v>56.913535332776974</v>
      </c>
      <c r="K58" s="168">
        <f>('Pivot Table for Data Exchange'!$C$532)*100</f>
        <v>4.2576930073163588</v>
      </c>
      <c r="L58" s="169">
        <f>SUM(M58:O58)</f>
        <v>38.828771659906657</v>
      </c>
      <c r="M58" s="168">
        <f>('Pivot Table for Data Exchange'!$C$535)*100</f>
        <v>24.287908221287562</v>
      </c>
      <c r="N58" s="168">
        <f>('Pivot Table for Data Exchange'!$C$538)*100</f>
        <v>14.279951733417388</v>
      </c>
      <c r="O58" s="176">
        <f>('Pivot Table for Data Exchange'!$C$541)*100</f>
        <v>0.2609117052017102</v>
      </c>
      <c r="P58" s="168">
        <f>('Pivot Table for Data Exchange'!$C$544)*100</f>
        <v>0</v>
      </c>
      <c r="Q58" s="173">
        <f t="shared" si="4"/>
        <v>100</v>
      </c>
      <c r="R58" s="173">
        <f t="shared" si="5"/>
        <v>100</v>
      </c>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row>
    <row r="59" spans="1:41" ht="15.75" customHeight="1">
      <c r="A59" s="145" t="s">
        <v>633</v>
      </c>
      <c r="B59" s="181">
        <f>('Pivot Table for Data Exchange'!$C$547)*100</f>
        <v>54.967438271347177</v>
      </c>
      <c r="C59" s="181">
        <f>('Pivot Table for Data Exchange'!$C$550)*100</f>
        <v>1.5809015732183751</v>
      </c>
      <c r="D59" s="182">
        <f>SUM(E59:G59)</f>
        <v>43.451660155434439</v>
      </c>
      <c r="E59" s="181">
        <f>('Pivot Table for Data Exchange'!$C$553)*100</f>
        <v>43.312861507009245</v>
      </c>
      <c r="F59" s="196">
        <f>('Pivot Table for Data Exchange'!$C$556)*100</f>
        <v>0</v>
      </c>
      <c r="G59" s="183">
        <f>('Pivot Table for Data Exchange'!$C$559)*100</f>
        <v>0.13879864842519488</v>
      </c>
      <c r="H59" s="181">
        <f>('Pivot Table for Data Exchange'!$C$562)*100</f>
        <v>0</v>
      </c>
      <c r="I59" s="184" t="s">
        <v>633</v>
      </c>
      <c r="J59" s="181">
        <f>('Pivot Table for Data Exchange'!$C$565)*100</f>
        <v>57.700773181330774</v>
      </c>
      <c r="K59" s="181">
        <f>('Pivot Table for Data Exchange'!$C$568)*100</f>
        <v>1.3691517579998873</v>
      </c>
      <c r="L59" s="182">
        <f>SUM(M59:O59)</f>
        <v>40.930075060669338</v>
      </c>
      <c r="M59" s="181">
        <f>('Pivot Table for Data Exchange'!$C$571)*100</f>
        <v>40.027089564873862</v>
      </c>
      <c r="N59" s="181">
        <f>('Pivot Table for Data Exchange'!$C$574)*100</f>
        <v>2.3703369264631187E-2</v>
      </c>
      <c r="O59" s="183">
        <f>('Pivot Table for Data Exchange'!$C$577)*100</f>
        <v>0.87928212653084259</v>
      </c>
      <c r="P59" s="181">
        <f>('Pivot Table for Data Exchange'!$C$580)*100</f>
        <v>0</v>
      </c>
      <c r="Q59" s="173">
        <f t="shared" si="4"/>
        <v>100</v>
      </c>
      <c r="R59" s="173">
        <f t="shared" si="5"/>
        <v>100</v>
      </c>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row>
    <row r="60" spans="1:41" s="212" customFormat="1" ht="12" customHeight="1">
      <c r="A60" s="187" t="s">
        <v>658</v>
      </c>
      <c r="B60" s="188"/>
      <c r="C60" s="188"/>
      <c r="D60" s="189"/>
      <c r="E60" s="188"/>
      <c r="F60" s="189"/>
      <c r="G60" s="189"/>
      <c r="H60" s="188"/>
      <c r="I60" s="187" t="s">
        <v>658</v>
      </c>
      <c r="J60" s="188"/>
      <c r="K60" s="188"/>
      <c r="L60" s="189"/>
      <c r="M60" s="188"/>
      <c r="N60" s="189"/>
      <c r="O60" s="189"/>
      <c r="P60" s="188"/>
      <c r="Q60" s="173">
        <f t="shared" si="4"/>
        <v>0</v>
      </c>
      <c r="R60" s="173">
        <f t="shared" si="5"/>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row>
    <row r="61" spans="1:41" s="212" customFormat="1" ht="24" customHeight="1">
      <c r="A61" s="492" t="s">
        <v>659</v>
      </c>
      <c r="B61" s="492"/>
      <c r="C61" s="492"/>
      <c r="D61" s="492"/>
      <c r="E61" s="492"/>
      <c r="F61" s="492"/>
      <c r="G61" s="492"/>
      <c r="H61" s="492"/>
      <c r="I61" s="492" t="s">
        <v>659</v>
      </c>
      <c r="J61" s="492"/>
      <c r="K61" s="492"/>
      <c r="L61" s="492"/>
      <c r="M61" s="492"/>
      <c r="N61" s="492"/>
      <c r="O61" s="492"/>
      <c r="P61" s="492"/>
      <c r="Q61" s="173">
        <f t="shared" si="4"/>
        <v>0</v>
      </c>
      <c r="R61" s="173">
        <f t="shared" si="5"/>
        <v>0</v>
      </c>
    </row>
    <row r="62" spans="1:41" s="212" customFormat="1" ht="13.5" customHeight="1">
      <c r="A62" s="502"/>
      <c r="B62" s="502"/>
      <c r="C62" s="502"/>
      <c r="D62" s="502"/>
      <c r="E62" s="502"/>
      <c r="F62" s="502"/>
      <c r="G62" s="502"/>
      <c r="H62" s="502"/>
      <c r="I62" s="502"/>
      <c r="J62" s="502"/>
      <c r="K62" s="502"/>
      <c r="L62" s="502"/>
      <c r="M62" s="502"/>
      <c r="N62" s="502"/>
      <c r="O62" s="502"/>
      <c r="P62" s="502"/>
      <c r="Q62" s="173">
        <f t="shared" si="4"/>
        <v>0</v>
      </c>
      <c r="R62" s="173">
        <f t="shared" si="5"/>
        <v>0</v>
      </c>
    </row>
    <row r="63" spans="1:41" s="212" customFormat="1" ht="13.5" customHeight="1">
      <c r="A63" s="186"/>
      <c r="B63" s="186"/>
      <c r="C63" s="186"/>
      <c r="D63" s="186"/>
      <c r="E63" s="186"/>
      <c r="F63" s="186"/>
      <c r="G63" s="186"/>
      <c r="H63" s="192" t="s">
        <v>923</v>
      </c>
      <c r="I63" s="186"/>
      <c r="J63" s="186"/>
      <c r="K63" s="186"/>
      <c r="L63" s="186"/>
      <c r="M63" s="186"/>
      <c r="N63" s="186"/>
      <c r="O63" s="186"/>
      <c r="P63" s="192" t="s">
        <v>923</v>
      </c>
      <c r="Q63" s="173">
        <f t="shared" si="4"/>
        <v>0</v>
      </c>
      <c r="R63" s="173">
        <f t="shared" si="5"/>
        <v>0</v>
      </c>
    </row>
    <row r="64" spans="1:41" ht="18">
      <c r="A64" s="134" t="s">
        <v>660</v>
      </c>
      <c r="B64" s="135"/>
      <c r="C64" s="135"/>
      <c r="D64" s="135"/>
      <c r="E64" s="135"/>
      <c r="F64" s="135"/>
      <c r="G64" s="135"/>
      <c r="H64" s="135"/>
      <c r="I64" s="134" t="s">
        <v>661</v>
      </c>
      <c r="J64" s="136"/>
      <c r="K64" s="136"/>
      <c r="L64" s="135"/>
      <c r="M64" s="136"/>
      <c r="N64" s="136"/>
      <c r="O64" s="136"/>
      <c r="P64" s="136"/>
      <c r="Q64" s="173">
        <f t="shared" si="4"/>
        <v>0</v>
      </c>
      <c r="R64" s="173">
        <f t="shared" si="5"/>
        <v>0</v>
      </c>
    </row>
    <row r="65" spans="1:41" ht="13">
      <c r="A65" s="140"/>
      <c r="B65" s="136"/>
      <c r="C65" s="136"/>
      <c r="D65" s="136"/>
      <c r="E65" s="136"/>
      <c r="F65" s="136"/>
      <c r="G65" s="136"/>
      <c r="H65" s="136"/>
      <c r="I65" s="140"/>
      <c r="J65" s="136"/>
      <c r="K65" s="136"/>
      <c r="L65" s="136"/>
      <c r="M65" s="136"/>
      <c r="N65" s="136"/>
      <c r="O65" s="136"/>
      <c r="P65" s="136"/>
      <c r="Q65" s="173">
        <f t="shared" si="4"/>
        <v>0</v>
      </c>
      <c r="R65" s="173">
        <f t="shared" si="5"/>
        <v>0</v>
      </c>
    </row>
    <row r="66" spans="1:41" ht="15.5">
      <c r="A66" s="142" t="s">
        <v>639</v>
      </c>
      <c r="B66" s="136"/>
      <c r="C66" s="136"/>
      <c r="D66" s="136"/>
      <c r="E66" s="136"/>
      <c r="F66" s="136"/>
      <c r="G66" s="136"/>
      <c r="H66" s="136"/>
      <c r="I66" s="142" t="s">
        <v>640</v>
      </c>
      <c r="J66" s="136"/>
      <c r="K66" s="136"/>
      <c r="L66" s="136"/>
      <c r="M66" s="136"/>
      <c r="N66" s="136"/>
      <c r="O66" s="136"/>
      <c r="P66" s="136"/>
      <c r="Q66" s="173">
        <f t="shared" si="4"/>
        <v>0</v>
      </c>
      <c r="R66" s="173">
        <f t="shared" si="5"/>
        <v>0</v>
      </c>
    </row>
    <row r="67" spans="1:41" ht="15.5">
      <c r="A67" s="142" t="s">
        <v>883</v>
      </c>
      <c r="B67" s="136"/>
      <c r="C67" s="136"/>
      <c r="D67" s="136"/>
      <c r="E67" s="136"/>
      <c r="F67" s="136"/>
      <c r="G67" s="136"/>
      <c r="H67" s="136"/>
      <c r="I67" s="142" t="s">
        <v>883</v>
      </c>
      <c r="J67" s="136"/>
      <c r="K67" s="136"/>
      <c r="L67" s="136"/>
      <c r="M67" s="136"/>
      <c r="N67" s="136"/>
      <c r="O67" s="136"/>
      <c r="P67" s="136"/>
      <c r="Q67" s="173">
        <f t="shared" si="4"/>
        <v>0</v>
      </c>
      <c r="R67" s="173">
        <f t="shared" si="5"/>
        <v>0</v>
      </c>
    </row>
    <row r="68" spans="1:41">
      <c r="A68" s="145"/>
      <c r="B68" s="146"/>
      <c r="C68" s="146"/>
      <c r="D68" s="146"/>
      <c r="E68" s="146"/>
      <c r="F68" s="146"/>
      <c r="G68" s="146"/>
      <c r="H68" s="146"/>
      <c r="I68" s="147"/>
      <c r="L68" s="148"/>
      <c r="P68" s="145"/>
      <c r="Q68" s="173">
        <f t="shared" si="4"/>
        <v>0</v>
      </c>
      <c r="R68" s="173">
        <f t="shared" si="5"/>
        <v>0</v>
      </c>
    </row>
    <row r="69" spans="1:41" s="166" customFormat="1">
      <c r="A69" s="150"/>
      <c r="B69" s="151" t="s">
        <v>641</v>
      </c>
      <c r="C69" s="151"/>
      <c r="D69" s="151"/>
      <c r="E69" s="151"/>
      <c r="F69" s="151"/>
      <c r="G69" s="151"/>
      <c r="H69" s="152"/>
      <c r="I69" s="150"/>
      <c r="J69" s="151" t="s">
        <v>641</v>
      </c>
      <c r="K69" s="151"/>
      <c r="L69" s="151"/>
      <c r="M69" s="151"/>
      <c r="N69" s="151"/>
      <c r="O69" s="151"/>
      <c r="P69" s="152"/>
      <c r="Q69" s="173">
        <f t="shared" si="4"/>
        <v>0</v>
      </c>
      <c r="R69" s="173">
        <f t="shared" si="5"/>
        <v>0</v>
      </c>
    </row>
    <row r="70" spans="1:41" s="166" customFormat="1">
      <c r="A70" s="150"/>
      <c r="B70" s="151" t="s">
        <v>642</v>
      </c>
      <c r="C70" s="151"/>
      <c r="D70" s="487" t="s">
        <v>643</v>
      </c>
      <c r="E70" s="485"/>
      <c r="F70" s="485"/>
      <c r="G70" s="485"/>
      <c r="H70" s="158" t="s">
        <v>533</v>
      </c>
      <c r="I70" s="150"/>
      <c r="J70" s="151" t="s">
        <v>642</v>
      </c>
      <c r="K70" s="151"/>
      <c r="L70" s="487" t="s">
        <v>643</v>
      </c>
      <c r="M70" s="485"/>
      <c r="N70" s="485"/>
      <c r="O70" s="485"/>
      <c r="P70" s="158" t="s">
        <v>533</v>
      </c>
      <c r="Q70" s="173">
        <f t="shared" si="4"/>
        <v>0</v>
      </c>
      <c r="R70" s="173">
        <f t="shared" si="5"/>
        <v>0</v>
      </c>
    </row>
    <row r="71" spans="1:41" s="166" customFormat="1" ht="40.5" customHeight="1">
      <c r="A71" s="150"/>
      <c r="B71" s="159" t="s">
        <v>644</v>
      </c>
      <c r="C71" s="160" t="s">
        <v>645</v>
      </c>
      <c r="D71" s="161" t="s">
        <v>646</v>
      </c>
      <c r="E71" s="162" t="s">
        <v>8</v>
      </c>
      <c r="F71" s="159" t="s">
        <v>647</v>
      </c>
      <c r="G71" s="163" t="s">
        <v>656</v>
      </c>
      <c r="H71" s="164" t="s">
        <v>649</v>
      </c>
      <c r="I71" s="150"/>
      <c r="J71" s="159" t="s">
        <v>644</v>
      </c>
      <c r="K71" s="160" t="s">
        <v>645</v>
      </c>
      <c r="L71" s="161" t="s">
        <v>646</v>
      </c>
      <c r="M71" s="162" t="s">
        <v>8</v>
      </c>
      <c r="N71" s="159" t="s">
        <v>647</v>
      </c>
      <c r="O71" s="163" t="s">
        <v>656</v>
      </c>
      <c r="P71" s="164" t="s">
        <v>649</v>
      </c>
      <c r="Q71" s="173">
        <f t="shared" si="4"/>
        <v>0</v>
      </c>
      <c r="R71" s="173">
        <f t="shared" si="5"/>
        <v>0</v>
      </c>
      <c r="T71" s="165"/>
    </row>
    <row r="72" spans="1:41" ht="15.75" customHeight="1">
      <c r="A72" s="194" t="s">
        <v>618</v>
      </c>
      <c r="B72" s="221">
        <f>('Pivot Table for Data Exchange'!$D$7)*100</f>
        <v>66.164897561623519</v>
      </c>
      <c r="C72" s="180">
        <f>('Pivot Table for Data Exchange'!$D$10)*100</f>
        <v>5.4456705812035815E-2</v>
      </c>
      <c r="D72" s="169">
        <f>SUM(E72:G72)</f>
        <v>33.780645732564444</v>
      </c>
      <c r="E72" s="168">
        <f>('Pivot Table for Data Exchange'!$D$13)*100</f>
        <v>33.780645732564444</v>
      </c>
      <c r="F72" s="180">
        <f>('Pivot Table for Data Exchange'!$D$16)*100</f>
        <v>0</v>
      </c>
      <c r="G72" s="172">
        <f>('Pivot Table for Data Exchange'!$D$19)*100</f>
        <v>0</v>
      </c>
      <c r="H72" s="168">
        <f>('Pivot Table for Data Exchange'!$D$22)*100</f>
        <v>0</v>
      </c>
      <c r="I72" s="171" t="s">
        <v>618</v>
      </c>
      <c r="J72" s="168">
        <f>('Pivot Table for Data Exchange'!$D$25)*100</f>
        <v>53.060654429369514</v>
      </c>
      <c r="K72" s="168">
        <f>('Pivot Table for Data Exchange'!$D$28)*100</f>
        <v>0</v>
      </c>
      <c r="L72" s="169">
        <f>SUM(M72:O72)</f>
        <v>46.939345570630486</v>
      </c>
      <c r="M72" s="168">
        <f>('Pivot Table for Data Exchange'!$D$31)*100</f>
        <v>46.939345570630486</v>
      </c>
      <c r="N72" s="168">
        <f>('Pivot Table for Data Exchange'!$D$34)*100</f>
        <v>0</v>
      </c>
      <c r="O72" s="172">
        <f>('Pivot Table for Data Exchange'!$D$37)*100</f>
        <v>0</v>
      </c>
      <c r="P72" s="168">
        <f>('Pivot Table for Data Exchange'!$D$40)*100</f>
        <v>0</v>
      </c>
      <c r="Q72" s="173">
        <f t="shared" si="4"/>
        <v>100</v>
      </c>
      <c r="R72" s="173">
        <f t="shared" si="5"/>
        <v>100</v>
      </c>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row>
    <row r="73" spans="1:41" ht="15.75" customHeight="1">
      <c r="A73" s="139" t="s">
        <v>619</v>
      </c>
      <c r="B73" s="168">
        <f>('Pivot Table for Data Exchange'!$D$43)*100</f>
        <v>47.017884505164162</v>
      </c>
      <c r="C73" s="168">
        <f>('Pivot Table for Data Exchange'!$D$46)*100</f>
        <v>7.6901032833097442</v>
      </c>
      <c r="D73" s="169">
        <f t="shared" ref="D73:D75" si="10">SUM(E73:G73)</f>
        <v>45.292012211526092</v>
      </c>
      <c r="E73" s="168">
        <f>('Pivot Table for Data Exchange'!$D$49)*100</f>
        <v>45.292012211526092</v>
      </c>
      <c r="F73" s="168">
        <f>('Pivot Table for Data Exchange'!$D$52)*100</f>
        <v>0</v>
      </c>
      <c r="G73" s="176">
        <f>('Pivot Table for Data Exchange'!$D$55)*100</f>
        <v>0</v>
      </c>
      <c r="H73" s="168">
        <f>('Pivot Table for Data Exchange'!$D$58)*100</f>
        <v>0</v>
      </c>
      <c r="I73" s="174" t="s">
        <v>619</v>
      </c>
      <c r="J73" s="168">
        <f>('Pivot Table for Data Exchange'!$D$61)*100</f>
        <v>33.315995510416379</v>
      </c>
      <c r="K73" s="168">
        <f>('Pivot Table for Data Exchange'!$D$64)*100</f>
        <v>33.362533877193464</v>
      </c>
      <c r="L73" s="169">
        <f t="shared" ref="L73:L75" si="11">SUM(M73:O73)</f>
        <v>33.321470612390158</v>
      </c>
      <c r="M73" s="168">
        <f>('Pivot Table for Data Exchange'!$D$67)*100</f>
        <v>33.321470612390158</v>
      </c>
      <c r="N73" s="168">
        <f>('Pivot Table for Data Exchange'!$D$70)*100</f>
        <v>0</v>
      </c>
      <c r="O73" s="176">
        <f>('Pivot Table for Data Exchange'!$D$73)*100</f>
        <v>0</v>
      </c>
      <c r="P73" s="168">
        <f>('Pivot Table for Data Exchange'!$D$76)*100</f>
        <v>0</v>
      </c>
      <c r="Q73" s="173">
        <f t="shared" si="4"/>
        <v>100</v>
      </c>
      <c r="R73" s="173">
        <f t="shared" si="5"/>
        <v>100</v>
      </c>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row>
    <row r="74" spans="1:41" ht="15.75" customHeight="1">
      <c r="A74" s="139" t="s">
        <v>620</v>
      </c>
      <c r="B74" s="168">
        <f>('Pivot Table for Data Exchange'!$D$79)*100</f>
        <v>0</v>
      </c>
      <c r="C74" s="168">
        <f>('Pivot Table for Data Exchange'!$D$82)*100</f>
        <v>0</v>
      </c>
      <c r="D74" s="169">
        <f t="shared" si="10"/>
        <v>0</v>
      </c>
      <c r="E74" s="168">
        <f>('Pivot Table for Data Exchange'!$D$85)*100</f>
        <v>0</v>
      </c>
      <c r="F74" s="168">
        <f>('Pivot Table for Data Exchange'!$D$88)*100</f>
        <v>0</v>
      </c>
      <c r="G74" s="176">
        <f>('Pivot Table for Data Exchange'!$D$91)*100</f>
        <v>0</v>
      </c>
      <c r="H74" s="168">
        <f>('Pivot Table for Data Exchange'!$D$94)*100</f>
        <v>0</v>
      </c>
      <c r="I74" s="174" t="s">
        <v>620</v>
      </c>
      <c r="J74" s="168">
        <f>('Pivot Table for Data Exchange'!$D$97)*100</f>
        <v>0</v>
      </c>
      <c r="K74" s="168">
        <f>('Pivot Table for Data Exchange'!$D$100)*100</f>
        <v>0</v>
      </c>
      <c r="L74" s="169">
        <f t="shared" si="11"/>
        <v>0</v>
      </c>
      <c r="M74" s="168">
        <f>('Pivot Table for Data Exchange'!$D$103)*100</f>
        <v>0</v>
      </c>
      <c r="N74" s="168">
        <f>('Pivot Table for Data Exchange'!$D$106)*100</f>
        <v>0</v>
      </c>
      <c r="O74" s="176">
        <f>('Pivot Table for Data Exchange'!$D$109)*100</f>
        <v>0</v>
      </c>
      <c r="P74" s="168">
        <f>('Pivot Table for Data Exchange'!$D$112)*100</f>
        <v>0</v>
      </c>
      <c r="Q74" s="173">
        <f t="shared" si="4"/>
        <v>0</v>
      </c>
      <c r="R74" s="173">
        <f t="shared" si="5"/>
        <v>0</v>
      </c>
      <c r="S74" s="222"/>
      <c r="T74" s="226"/>
      <c r="U74" s="222"/>
      <c r="V74" s="222"/>
      <c r="W74" s="222"/>
      <c r="X74" s="222"/>
      <c r="Y74" s="222"/>
      <c r="Z74" s="222"/>
      <c r="AA74" s="222"/>
      <c r="AB74" s="222"/>
      <c r="AC74" s="222"/>
      <c r="AD74" s="222"/>
      <c r="AE74" s="222"/>
      <c r="AF74" s="222"/>
      <c r="AG74" s="222"/>
      <c r="AH74" s="222"/>
      <c r="AI74" s="222"/>
      <c r="AJ74" s="222"/>
      <c r="AK74" s="222"/>
      <c r="AL74" s="222"/>
      <c r="AM74" s="222"/>
      <c r="AN74" s="222"/>
      <c r="AO74" s="222"/>
    </row>
    <row r="75" spans="1:41" ht="15.75" customHeight="1">
      <c r="A75" s="139" t="s">
        <v>621</v>
      </c>
      <c r="B75" s="168">
        <f>('Pivot Table for Data Exchange'!$D$115)*100</f>
        <v>0</v>
      </c>
      <c r="C75" s="168">
        <f>('Pivot Table for Data Exchange'!$D$118)*100</f>
        <v>0</v>
      </c>
      <c r="D75" s="169">
        <f t="shared" si="10"/>
        <v>0</v>
      </c>
      <c r="E75" s="168">
        <f>('Pivot Table for Data Exchange'!$D$121)*100</f>
        <v>0</v>
      </c>
      <c r="F75" s="180">
        <f>('Pivot Table for Data Exchange'!$D$124)*100</f>
        <v>0</v>
      </c>
      <c r="G75" s="176">
        <f>('Pivot Table for Data Exchange'!$D$127)*100</f>
        <v>0</v>
      </c>
      <c r="H75" s="168">
        <f>('Pivot Table for Data Exchange'!$D$130)*100</f>
        <v>0</v>
      </c>
      <c r="I75" s="174" t="s">
        <v>621</v>
      </c>
      <c r="J75" s="168">
        <f>('Pivot Table for Data Exchange'!$D$133)*100</f>
        <v>0</v>
      </c>
      <c r="K75" s="168">
        <f>('Pivot Table for Data Exchange'!$D$136)*100</f>
        <v>0</v>
      </c>
      <c r="L75" s="169">
        <f t="shared" si="11"/>
        <v>0</v>
      </c>
      <c r="M75" s="168">
        <f>('Pivot Table for Data Exchange'!$D$139)*100</f>
        <v>0</v>
      </c>
      <c r="N75" s="168">
        <f>('Pivot Table for Data Exchange'!$D$142)*100</f>
        <v>0</v>
      </c>
      <c r="O75" s="176">
        <f>('Pivot Table for Data Exchange'!$D$145)*100</f>
        <v>0</v>
      </c>
      <c r="P75" s="168">
        <f>('Pivot Table for Data Exchange'!$D$148)*100</f>
        <v>0</v>
      </c>
      <c r="Q75" s="173">
        <f t="shared" si="4"/>
        <v>0</v>
      </c>
      <c r="R75" s="173">
        <f t="shared" si="5"/>
        <v>0</v>
      </c>
      <c r="S75" s="222"/>
      <c r="U75" s="222"/>
      <c r="V75" s="222"/>
      <c r="W75" s="222"/>
      <c r="X75" s="222"/>
      <c r="Y75" s="222"/>
      <c r="Z75" s="222"/>
      <c r="AA75" s="222"/>
      <c r="AB75" s="222"/>
      <c r="AC75" s="222"/>
      <c r="AD75" s="222"/>
      <c r="AE75" s="222"/>
      <c r="AF75" s="222"/>
      <c r="AG75" s="222"/>
      <c r="AH75" s="222"/>
      <c r="AI75" s="222"/>
      <c r="AJ75" s="222"/>
      <c r="AK75" s="222"/>
      <c r="AL75" s="222"/>
      <c r="AM75" s="222"/>
      <c r="AN75" s="222"/>
      <c r="AO75" s="222"/>
    </row>
    <row r="76" spans="1:41" ht="9" customHeight="1">
      <c r="B76" s="168"/>
      <c r="C76" s="168"/>
      <c r="D76" s="169"/>
      <c r="E76" s="168"/>
      <c r="F76" s="168"/>
      <c r="G76" s="176"/>
      <c r="H76" s="168"/>
      <c r="I76" s="174"/>
      <c r="J76" s="168"/>
      <c r="K76" s="168"/>
      <c r="L76" s="169"/>
      <c r="M76" s="168"/>
      <c r="N76" s="168"/>
      <c r="O76" s="176"/>
      <c r="P76" s="168"/>
      <c r="Q76" s="173">
        <f t="shared" si="4"/>
        <v>0</v>
      </c>
      <c r="R76" s="173">
        <f t="shared" si="5"/>
        <v>0</v>
      </c>
      <c r="S76" s="222"/>
      <c r="U76" s="222"/>
      <c r="V76" s="222"/>
      <c r="W76" s="222"/>
      <c r="X76" s="222"/>
      <c r="Y76" s="222"/>
      <c r="Z76" s="222"/>
      <c r="AA76" s="222"/>
      <c r="AB76" s="222"/>
      <c r="AC76" s="222"/>
      <c r="AD76" s="222"/>
      <c r="AE76" s="222"/>
      <c r="AF76" s="222"/>
      <c r="AG76" s="222"/>
      <c r="AH76" s="222"/>
      <c r="AI76" s="222"/>
      <c r="AJ76" s="222"/>
      <c r="AK76" s="222"/>
      <c r="AL76" s="222"/>
      <c r="AM76" s="222"/>
      <c r="AN76" s="222"/>
      <c r="AO76" s="222"/>
    </row>
    <row r="77" spans="1:41" ht="15.75" customHeight="1">
      <c r="A77" s="139" t="s">
        <v>622</v>
      </c>
      <c r="B77" s="168">
        <f>('Pivot Table for Data Exchange'!$D$151)*100</f>
        <v>42.303874243451311</v>
      </c>
      <c r="C77" s="168">
        <f>('Pivot Table for Data Exchange'!$D$154)*100</f>
        <v>0.74485968493016286</v>
      </c>
      <c r="D77" s="169">
        <f t="shared" ref="D77:D78" si="12">SUM(E77:G77)</f>
        <v>56.951266071618534</v>
      </c>
      <c r="E77" s="168">
        <f>('Pivot Table for Data Exchange'!$D$157)*100</f>
        <v>56.951266071618534</v>
      </c>
      <c r="F77" s="168">
        <f>('Pivot Table for Data Exchange'!$D$160)*100</f>
        <v>0</v>
      </c>
      <c r="G77" s="176">
        <f>('Pivot Table for Data Exchange'!$D$163)*100</f>
        <v>0</v>
      </c>
      <c r="H77" s="168">
        <f>('Pivot Table for Data Exchange'!$D$166)*100</f>
        <v>0</v>
      </c>
      <c r="I77" s="174" t="s">
        <v>622</v>
      </c>
      <c r="J77" s="168">
        <f>('Pivot Table for Data Exchange'!$D$169)*100</f>
        <v>38.817247419851839</v>
      </c>
      <c r="K77" s="168">
        <f>('Pivot Table for Data Exchange'!$D$172)*100</f>
        <v>0.76302613234145733</v>
      </c>
      <c r="L77" s="169">
        <f t="shared" ref="L77:L78" si="13">SUM(M77:O77)</f>
        <v>60.419726447806696</v>
      </c>
      <c r="M77" s="168">
        <f>('Pivot Table for Data Exchange'!$D$175)*100</f>
        <v>60.419726447806696</v>
      </c>
      <c r="N77" s="168">
        <f>('Pivot Table for Data Exchange'!$D$178)*100</f>
        <v>0</v>
      </c>
      <c r="O77" s="176">
        <f>('Pivot Table for Data Exchange'!$D$181)*100</f>
        <v>0</v>
      </c>
      <c r="P77" s="168">
        <f>('Pivot Table for Data Exchange'!$D$184)*100</f>
        <v>0</v>
      </c>
      <c r="Q77" s="173">
        <f t="shared" si="4"/>
        <v>100</v>
      </c>
      <c r="R77" s="173">
        <f t="shared" si="5"/>
        <v>100</v>
      </c>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row>
    <row r="78" spans="1:41" ht="15.75" customHeight="1">
      <c r="A78" s="139" t="s">
        <v>623</v>
      </c>
      <c r="B78" s="168">
        <f>('Pivot Table for Data Exchange'!$D$187)*100</f>
        <v>0</v>
      </c>
      <c r="C78" s="168">
        <f>('Pivot Table for Data Exchange'!$D$190)*100</f>
        <v>0</v>
      </c>
      <c r="D78" s="169">
        <f t="shared" si="12"/>
        <v>0</v>
      </c>
      <c r="E78" s="168">
        <f>('Pivot Table for Data Exchange'!$D$193)*100</f>
        <v>0</v>
      </c>
      <c r="F78" s="168">
        <f>('Pivot Table for Data Exchange'!$D$196)*100</f>
        <v>0</v>
      </c>
      <c r="G78" s="176">
        <f>('Pivot Table for Data Exchange'!$D$199)*100</f>
        <v>0</v>
      </c>
      <c r="H78" s="168">
        <f>('Pivot Table for Data Exchange'!$D$202)*100</f>
        <v>0</v>
      </c>
      <c r="I78" s="174" t="s">
        <v>623</v>
      </c>
      <c r="J78" s="168">
        <f>('Pivot Table for Data Exchange'!$D$205)*100</f>
        <v>0</v>
      </c>
      <c r="K78" s="168">
        <f>('Pivot Table for Data Exchange'!$D$208)*100</f>
        <v>0</v>
      </c>
      <c r="L78" s="169">
        <f t="shared" si="13"/>
        <v>0</v>
      </c>
      <c r="M78" s="168">
        <f>('Pivot Table for Data Exchange'!$D$211)*100</f>
        <v>0</v>
      </c>
      <c r="N78" s="168">
        <f>('Pivot Table for Data Exchange'!$D$214)*100</f>
        <v>0</v>
      </c>
      <c r="O78" s="176">
        <f>('Pivot Table for Data Exchange'!$D$217)*100</f>
        <v>0</v>
      </c>
      <c r="P78" s="168">
        <f>('Pivot Table for Data Exchange'!$D$220)*100</f>
        <v>0</v>
      </c>
      <c r="Q78" s="173">
        <f t="shared" si="4"/>
        <v>0</v>
      </c>
      <c r="R78" s="173">
        <f t="shared" si="5"/>
        <v>0</v>
      </c>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row>
    <row r="79" spans="1:41" ht="15.75" customHeight="1">
      <c r="A79" s="139" t="s">
        <v>624</v>
      </c>
      <c r="B79" s="168">
        <f>('Pivot Table for Data Exchange'!$D$223)*100</f>
        <v>72.036381856758965</v>
      </c>
      <c r="C79" s="168">
        <f>('Pivot Table for Data Exchange'!$D$226)*100</f>
        <v>0</v>
      </c>
      <c r="D79" s="169">
        <f>SUM(E79:G79)</f>
        <v>27.963618143241035</v>
      </c>
      <c r="E79" s="168">
        <f>('Pivot Table for Data Exchange'!$D$229)*100</f>
        <v>27.963618143241035</v>
      </c>
      <c r="F79" s="168">
        <f>('Pivot Table for Data Exchange'!$D$232)*100</f>
        <v>0</v>
      </c>
      <c r="G79" s="176">
        <f>('Pivot Table for Data Exchange'!$D$235)*100</f>
        <v>0</v>
      </c>
      <c r="H79" s="168">
        <f>('Pivot Table for Data Exchange'!$D$238)*100</f>
        <v>0</v>
      </c>
      <c r="I79" s="174" t="s">
        <v>624</v>
      </c>
      <c r="J79" s="168">
        <f>('Pivot Table for Data Exchange'!$D$241)*100</f>
        <v>70.729974668528939</v>
      </c>
      <c r="K79" s="168">
        <f>('Pivot Table for Data Exchange'!$D$244)*100</f>
        <v>0</v>
      </c>
      <c r="L79" s="169">
        <f>SUM(M79:O79)</f>
        <v>29.270025331471068</v>
      </c>
      <c r="M79" s="168">
        <f>('Pivot Table for Data Exchange'!$D$247)*100</f>
        <v>29.270025331471068</v>
      </c>
      <c r="N79" s="168">
        <f>('Pivot Table for Data Exchange'!$D$250)*100</f>
        <v>0</v>
      </c>
      <c r="O79" s="176">
        <f>('Pivot Table for Data Exchange'!$D$253)*100</f>
        <v>0</v>
      </c>
      <c r="P79" s="168">
        <f>('Pivot Table for Data Exchange'!$D$256)*100</f>
        <v>0</v>
      </c>
      <c r="Q79" s="173">
        <f t="shared" si="4"/>
        <v>100</v>
      </c>
      <c r="R79" s="173">
        <f t="shared" si="5"/>
        <v>100</v>
      </c>
      <c r="S79" s="222"/>
      <c r="T79" s="226"/>
      <c r="U79" s="222"/>
      <c r="V79" s="222"/>
      <c r="W79" s="222"/>
      <c r="X79" s="222"/>
      <c r="Y79" s="222"/>
      <c r="Z79" s="222"/>
      <c r="AA79" s="222"/>
      <c r="AB79" s="222"/>
      <c r="AC79" s="222"/>
      <c r="AD79" s="222"/>
      <c r="AE79" s="222"/>
      <c r="AF79" s="222"/>
      <c r="AG79" s="222"/>
      <c r="AH79" s="222"/>
      <c r="AI79" s="222"/>
      <c r="AJ79" s="222"/>
      <c r="AK79" s="222"/>
      <c r="AL79" s="222"/>
      <c r="AM79" s="222"/>
      <c r="AN79" s="222"/>
      <c r="AO79" s="222"/>
    </row>
    <row r="80" spans="1:41" ht="15.75" customHeight="1">
      <c r="A80" s="139" t="s">
        <v>625</v>
      </c>
      <c r="B80" s="168">
        <f>('Pivot Table for Data Exchange'!$D$259)*100</f>
        <v>53.748487599067928</v>
      </c>
      <c r="C80" s="168">
        <f>('Pivot Table for Data Exchange'!$D$262)*100</f>
        <v>0.74690694490478293</v>
      </c>
      <c r="D80" s="169">
        <f>SUM(E80:G80)</f>
        <v>45.504605456027292</v>
      </c>
      <c r="E80" s="168">
        <f>('Pivot Table for Data Exchange'!$D$265)*100</f>
        <v>45.504605456027292</v>
      </c>
      <c r="F80" s="168">
        <f>('Pivot Table for Data Exchange'!$D$268)*100</f>
        <v>0</v>
      </c>
      <c r="G80" s="176">
        <f>('Pivot Table for Data Exchange'!$D$271)*100</f>
        <v>0</v>
      </c>
      <c r="H80" s="168">
        <f>('Pivot Table for Data Exchange'!$D$274)*100</f>
        <v>0</v>
      </c>
      <c r="I80" s="174" t="s">
        <v>625</v>
      </c>
      <c r="J80" s="168">
        <f>('Pivot Table for Data Exchange'!$D$277)*100</f>
        <v>49.937276850332921</v>
      </c>
      <c r="K80" s="168">
        <f>('Pivot Table for Data Exchange'!$D$280)*100</f>
        <v>1.6854836115667922</v>
      </c>
      <c r="L80" s="169">
        <f>SUM(M80:O80)</f>
        <v>48.377239538100291</v>
      </c>
      <c r="M80" s="168">
        <f>('Pivot Table for Data Exchange'!$D$283)*100</f>
        <v>48.377239538100291</v>
      </c>
      <c r="N80" s="168">
        <f>('Pivot Table for Data Exchange'!$D$286)*100</f>
        <v>0</v>
      </c>
      <c r="O80" s="176">
        <f>('Pivot Table for Data Exchange'!$D$289)*100</f>
        <v>0</v>
      </c>
      <c r="P80" s="168">
        <f>('Pivot Table for Data Exchange'!$D$292)*100</f>
        <v>0</v>
      </c>
      <c r="Q80" s="173">
        <f t="shared" si="4"/>
        <v>100</v>
      </c>
      <c r="R80" s="173">
        <f t="shared" si="5"/>
        <v>100</v>
      </c>
      <c r="S80" s="222"/>
      <c r="U80" s="222"/>
      <c r="V80" s="222"/>
      <c r="W80" s="222"/>
      <c r="X80" s="222"/>
      <c r="Y80" s="222"/>
      <c r="Z80" s="222"/>
      <c r="AA80" s="222"/>
      <c r="AB80" s="222"/>
      <c r="AC80" s="222"/>
      <c r="AD80" s="222"/>
      <c r="AE80" s="222"/>
      <c r="AF80" s="222"/>
      <c r="AG80" s="222"/>
      <c r="AH80" s="222"/>
      <c r="AI80" s="222"/>
      <c r="AJ80" s="222"/>
      <c r="AK80" s="222"/>
      <c r="AL80" s="222"/>
      <c r="AM80" s="222"/>
      <c r="AN80" s="222"/>
      <c r="AO80" s="222"/>
    </row>
    <row r="81" spans="1:41" ht="8.25" customHeight="1">
      <c r="B81" s="168"/>
      <c r="C81" s="168"/>
      <c r="D81" s="169"/>
      <c r="E81" s="168"/>
      <c r="F81" s="168"/>
      <c r="G81" s="176"/>
      <c r="H81" s="168"/>
      <c r="I81" s="174"/>
      <c r="J81" s="168"/>
      <c r="K81" s="168"/>
      <c r="L81" s="169"/>
      <c r="M81" s="168"/>
      <c r="N81" s="168"/>
      <c r="O81" s="176"/>
      <c r="P81" s="168"/>
      <c r="Q81" s="173">
        <f t="shared" si="4"/>
        <v>0</v>
      </c>
      <c r="R81" s="173">
        <f t="shared" si="5"/>
        <v>0</v>
      </c>
      <c r="S81" s="222"/>
      <c r="U81" s="222"/>
      <c r="V81" s="222"/>
      <c r="W81" s="222"/>
      <c r="X81" s="222"/>
      <c r="Y81" s="222"/>
      <c r="Z81" s="222"/>
      <c r="AA81" s="222"/>
      <c r="AB81" s="222"/>
      <c r="AC81" s="222"/>
      <c r="AD81" s="222"/>
      <c r="AE81" s="222"/>
      <c r="AF81" s="222"/>
      <c r="AG81" s="222"/>
      <c r="AH81" s="222"/>
      <c r="AI81" s="222"/>
      <c r="AJ81" s="222"/>
      <c r="AK81" s="222"/>
      <c r="AL81" s="222"/>
      <c r="AM81" s="222"/>
      <c r="AN81" s="222"/>
      <c r="AO81" s="222"/>
    </row>
    <row r="82" spans="1:41" ht="15.75" customHeight="1">
      <c r="A82" s="139" t="s">
        <v>626</v>
      </c>
      <c r="B82" s="168">
        <f>('Pivot Table for Data Exchange'!$D$295)*100</f>
        <v>35.596442623508466</v>
      </c>
      <c r="C82" s="168">
        <f>('Pivot Table for Data Exchange'!$D$298)*100</f>
        <v>0.7884283214338359</v>
      </c>
      <c r="D82" s="169">
        <f>SUM(E82:G82)</f>
        <v>63.615129055057693</v>
      </c>
      <c r="E82" s="168">
        <f>('Pivot Table for Data Exchange'!$D$301)*100</f>
        <v>63.615129055057693</v>
      </c>
      <c r="F82" s="168">
        <f>('Pivot Table for Data Exchange'!$D$304)*100</f>
        <v>0</v>
      </c>
      <c r="G82" s="176">
        <f>('Pivot Table for Data Exchange'!$D$307)*100</f>
        <v>0</v>
      </c>
      <c r="H82" s="168">
        <f>('Pivot Table for Data Exchange'!$D$310)*100</f>
        <v>0</v>
      </c>
      <c r="I82" s="174" t="s">
        <v>626</v>
      </c>
      <c r="J82" s="168">
        <f>('Pivot Table for Data Exchange'!$D$313)*100</f>
        <v>21.679438058748403</v>
      </c>
      <c r="K82" s="168">
        <f>('Pivot Table for Data Exchange'!$D$316)*100</f>
        <v>8.4784627888076169</v>
      </c>
      <c r="L82" s="169">
        <f>SUM(M82:O82)</f>
        <v>69.842099152443978</v>
      </c>
      <c r="M82" s="168">
        <f>('Pivot Table for Data Exchange'!$D$319)*100</f>
        <v>69.842099152443978</v>
      </c>
      <c r="N82" s="168">
        <f>('Pivot Table for Data Exchange'!$D$322)*100</f>
        <v>0</v>
      </c>
      <c r="O82" s="176">
        <f>('Pivot Table for Data Exchange'!$D$325)*100</f>
        <v>0</v>
      </c>
      <c r="P82" s="180">
        <f>('Pivot Table for Data Exchange'!$D$328)*100</f>
        <v>0</v>
      </c>
      <c r="Q82" s="173">
        <f t="shared" si="4"/>
        <v>100</v>
      </c>
      <c r="R82" s="173">
        <f t="shared" si="5"/>
        <v>100</v>
      </c>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row>
    <row r="83" spans="1:41" ht="15.75" customHeight="1">
      <c r="A83" s="139" t="s">
        <v>627</v>
      </c>
      <c r="B83" s="168">
        <f>('Pivot Table for Data Exchange'!$D$331)*100</f>
        <v>48.528882234772389</v>
      </c>
      <c r="C83" s="168">
        <f>('Pivot Table for Data Exchange'!$D$334)*100</f>
        <v>0.34333977687652401</v>
      </c>
      <c r="D83" s="169">
        <f>SUM(E83:G83)</f>
        <v>51.127777988351077</v>
      </c>
      <c r="E83" s="168">
        <f>('Pivot Table for Data Exchange'!$D$337)*100</f>
        <v>51.052761247773184</v>
      </c>
      <c r="F83" s="180">
        <f>('Pivot Table for Data Exchange'!$D$340)*100</f>
        <v>7.5016740577897381E-2</v>
      </c>
      <c r="G83" s="176">
        <f>('Pivot Table for Data Exchange'!$D$343)*100</f>
        <v>0</v>
      </c>
      <c r="H83" s="168">
        <f>('Pivot Table for Data Exchange'!$D$346)*100</f>
        <v>0</v>
      </c>
      <c r="I83" s="174" t="s">
        <v>627</v>
      </c>
      <c r="J83" s="168">
        <f>('Pivot Table for Data Exchange'!$D$349)*100</f>
        <v>26.742899299151606</v>
      </c>
      <c r="K83" s="168">
        <f>('Pivot Table for Data Exchange'!$D$352)*100</f>
        <v>0.76456188591931862</v>
      </c>
      <c r="L83" s="169">
        <f>SUM(M83:O83)</f>
        <v>72.492538814929077</v>
      </c>
      <c r="M83" s="168">
        <f>('Pivot Table for Data Exchange'!$D$355)*100</f>
        <v>72.427707543900837</v>
      </c>
      <c r="N83" s="180">
        <f>('Pivot Table for Data Exchange'!$D$358)*100</f>
        <v>6.4831271028246318E-2</v>
      </c>
      <c r="O83" s="176">
        <f>('Pivot Table for Data Exchange'!$D$361)*100</f>
        <v>0</v>
      </c>
      <c r="P83" s="168">
        <f>('Pivot Table for Data Exchange'!$D$364)*100</f>
        <v>0</v>
      </c>
      <c r="Q83" s="173">
        <f t="shared" si="4"/>
        <v>100</v>
      </c>
      <c r="R83" s="173">
        <f t="shared" si="5"/>
        <v>100</v>
      </c>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row>
    <row r="84" spans="1:41" ht="15.75" customHeight="1">
      <c r="A84" s="139" t="s">
        <v>628</v>
      </c>
      <c r="B84" s="168">
        <f>('Pivot Table for Data Exchange'!$D$367)*100</f>
        <v>0</v>
      </c>
      <c r="C84" s="168">
        <f>('Pivot Table for Data Exchange'!$D$370)*100</f>
        <v>0</v>
      </c>
      <c r="D84" s="169">
        <f>SUM(E84:G84)</f>
        <v>0</v>
      </c>
      <c r="E84" s="168">
        <f>('Pivot Table for Data Exchange'!$D$373)*100</f>
        <v>0</v>
      </c>
      <c r="F84" s="168">
        <f>('Pivot Table for Data Exchange'!$D$376)*100</f>
        <v>0</v>
      </c>
      <c r="G84" s="176">
        <f>('Pivot Table for Data Exchange'!$D$379)*100</f>
        <v>0</v>
      </c>
      <c r="H84" s="168">
        <f>('Pivot Table for Data Exchange'!$D$382)*100</f>
        <v>0</v>
      </c>
      <c r="I84" s="174" t="s">
        <v>628</v>
      </c>
      <c r="J84" s="168">
        <f>('Pivot Table for Data Exchange'!$D$385)*100</f>
        <v>0</v>
      </c>
      <c r="K84" s="168">
        <f>('Pivot Table for Data Exchange'!$D$388)*100</f>
        <v>0</v>
      </c>
      <c r="L84" s="169">
        <f>SUM(M84:O84)</f>
        <v>0</v>
      </c>
      <c r="M84" s="168">
        <f>('Pivot Table for Data Exchange'!$D$391)*100</f>
        <v>0</v>
      </c>
      <c r="N84" s="168">
        <f>('Pivot Table for Data Exchange'!$D$394)*100</f>
        <v>0</v>
      </c>
      <c r="O84" s="176">
        <f>('Pivot Table for Data Exchange'!$D$397)*100</f>
        <v>0</v>
      </c>
      <c r="P84" s="168">
        <f>('Pivot Table for Data Exchange'!$D$400)*100</f>
        <v>0</v>
      </c>
      <c r="Q84" s="173">
        <f t="shared" si="4"/>
        <v>0</v>
      </c>
      <c r="R84" s="173">
        <f t="shared" si="5"/>
        <v>0</v>
      </c>
      <c r="S84" s="222"/>
      <c r="T84" s="226"/>
      <c r="U84" s="222"/>
      <c r="V84" s="222"/>
      <c r="W84" s="222"/>
      <c r="X84" s="222"/>
      <c r="Y84" s="222"/>
      <c r="Z84" s="222"/>
      <c r="AA84" s="222"/>
      <c r="AB84" s="222"/>
      <c r="AC84" s="222"/>
      <c r="AD84" s="222"/>
      <c r="AE84" s="222"/>
      <c r="AF84" s="222"/>
      <c r="AG84" s="222"/>
      <c r="AH84" s="222"/>
      <c r="AI84" s="222"/>
      <c r="AJ84" s="222"/>
      <c r="AK84" s="222"/>
      <c r="AL84" s="222"/>
      <c r="AM84" s="222"/>
      <c r="AN84" s="222"/>
      <c r="AO84" s="222"/>
    </row>
    <row r="85" spans="1:41" ht="15.75" customHeight="1">
      <c r="A85" s="139" t="s">
        <v>629</v>
      </c>
      <c r="B85" s="168">
        <f>('Pivot Table for Data Exchange'!$D$403)*100</f>
        <v>0</v>
      </c>
      <c r="C85" s="168">
        <f>('Pivot Table for Data Exchange'!$D$406)*100</f>
        <v>0</v>
      </c>
      <c r="D85" s="169">
        <f>SUM(E85:G85)</f>
        <v>0</v>
      </c>
      <c r="E85" s="168">
        <f>('Pivot Table for Data Exchange'!$D$409)*100</f>
        <v>0</v>
      </c>
      <c r="F85" s="168">
        <f>('Pivot Table for Data Exchange'!$D$412)*100</f>
        <v>0</v>
      </c>
      <c r="G85" s="176">
        <f>('Pivot Table for Data Exchange'!$D$415)*100</f>
        <v>0</v>
      </c>
      <c r="H85" s="168">
        <f>('Pivot Table for Data Exchange'!$D$418)*100</f>
        <v>0</v>
      </c>
      <c r="I85" s="174" t="s">
        <v>629</v>
      </c>
      <c r="J85" s="168">
        <f>('Pivot Table for Data Exchange'!$D$421)*100</f>
        <v>0</v>
      </c>
      <c r="K85" s="168">
        <f>('Pivot Table for Data Exchange'!$D$424)*100</f>
        <v>0</v>
      </c>
      <c r="L85" s="169">
        <f>SUM(M85:O85)</f>
        <v>0</v>
      </c>
      <c r="M85" s="168">
        <f>('Pivot Table for Data Exchange'!$D$427)*100</f>
        <v>0</v>
      </c>
      <c r="N85" s="168">
        <f>('Pivot Table for Data Exchange'!$D$430)*100</f>
        <v>0</v>
      </c>
      <c r="O85" s="176">
        <f>('Pivot Table for Data Exchange'!$D$433)*100</f>
        <v>0</v>
      </c>
      <c r="P85" s="168">
        <f>('Pivot Table for Data Exchange'!$D$436)*100</f>
        <v>0</v>
      </c>
      <c r="Q85" s="173">
        <f t="shared" si="4"/>
        <v>0</v>
      </c>
      <c r="R85" s="173">
        <f t="shared" si="5"/>
        <v>0</v>
      </c>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row>
    <row r="86" spans="1:41" ht="8.25" customHeight="1">
      <c r="B86" s="168"/>
      <c r="C86" s="168"/>
      <c r="D86" s="169"/>
      <c r="E86" s="168"/>
      <c r="F86" s="168"/>
      <c r="G86" s="176"/>
      <c r="H86" s="168"/>
      <c r="I86" s="174"/>
      <c r="J86" s="168"/>
      <c r="K86" s="168"/>
      <c r="L86" s="169"/>
      <c r="M86" s="168"/>
      <c r="N86" s="168"/>
      <c r="O86" s="176"/>
      <c r="P86" s="168"/>
      <c r="Q86" s="173">
        <f t="shared" si="4"/>
        <v>0</v>
      </c>
      <c r="R86" s="173">
        <f t="shared" si="5"/>
        <v>0</v>
      </c>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row>
    <row r="87" spans="1:41" ht="15.75" customHeight="1">
      <c r="A87" s="139" t="s">
        <v>630</v>
      </c>
      <c r="B87" s="168">
        <f>('Pivot Table for Data Exchange'!$D$439)*100</f>
        <v>53.213890060452698</v>
      </c>
      <c r="C87" s="168">
        <f>('Pivot Table for Data Exchange'!$D$442)*100</f>
        <v>3.098664417264164</v>
      </c>
      <c r="D87" s="169">
        <f>SUM(E87:G87)</f>
        <v>43.149388443694647</v>
      </c>
      <c r="E87" s="168">
        <f>('Pivot Table for Data Exchange'!$D$445)*100</f>
        <v>38.335442148179389</v>
      </c>
      <c r="F87" s="168">
        <f>('Pivot Table for Data Exchange'!$D$448)*100</f>
        <v>0.81428370589062293</v>
      </c>
      <c r="G87" s="176">
        <f>('Pivot Table for Data Exchange'!$D$451)*100</f>
        <v>3.9996625896246307</v>
      </c>
      <c r="H87" s="168">
        <f>('Pivot Table for Data Exchange'!$D$454)*100</f>
        <v>0.53805707858849994</v>
      </c>
      <c r="I87" s="174" t="s">
        <v>630</v>
      </c>
      <c r="J87" s="168">
        <f>('Pivot Table for Data Exchange'!$D$457)*100</f>
        <v>34.479692547841807</v>
      </c>
      <c r="K87" s="168">
        <f>('Pivot Table for Data Exchange'!$D$460)*100</f>
        <v>2.8532192572540729</v>
      </c>
      <c r="L87" s="169">
        <f>SUM(M87:O87)</f>
        <v>59.237890119443989</v>
      </c>
      <c r="M87" s="168">
        <f>('Pivot Table for Data Exchange'!$D$463)*100</f>
        <v>55.289026763749895</v>
      </c>
      <c r="N87" s="168">
        <f>('Pivot Table for Data Exchange'!$D$466)*100</f>
        <v>0.10077159426589868</v>
      </c>
      <c r="O87" s="176">
        <f>('Pivot Table for Data Exchange'!$D$469)*100</f>
        <v>3.8480917614281909</v>
      </c>
      <c r="P87" s="168">
        <f>('Pivot Table for Data Exchange'!$D$472)*100</f>
        <v>3.4291980754601408</v>
      </c>
      <c r="Q87" s="173">
        <f t="shared" si="4"/>
        <v>100</v>
      </c>
      <c r="R87" s="173">
        <f t="shared" si="5"/>
        <v>100</v>
      </c>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row>
    <row r="88" spans="1:41" ht="15.75" customHeight="1">
      <c r="A88" s="139" t="s">
        <v>631</v>
      </c>
      <c r="B88" s="168">
        <f>('Pivot Table for Data Exchange'!$D$475)*100</f>
        <v>46.281597167304831</v>
      </c>
      <c r="C88" s="168">
        <f>('Pivot Table for Data Exchange'!$D$478)*100</f>
        <v>1.4596888988608652</v>
      </c>
      <c r="D88" s="169">
        <f>SUM(E88:G88)</f>
        <v>52.258713933834294</v>
      </c>
      <c r="E88" s="168">
        <f>('Pivot Table for Data Exchange'!$D$481)*100</f>
        <v>52.234867015113672</v>
      </c>
      <c r="F88" s="168">
        <f>('Pivot Table for Data Exchange'!$D$484)*100</f>
        <v>1.5632298904267802E-2</v>
      </c>
      <c r="G88" s="175">
        <f>('Pivot Table for Data Exchange'!$D$487)*100</f>
        <v>8.2146198163603346E-3</v>
      </c>
      <c r="H88" s="168">
        <f>('Pivot Table for Data Exchange'!$D$490)*100</f>
        <v>0</v>
      </c>
      <c r="I88" s="174" t="s">
        <v>631</v>
      </c>
      <c r="J88" s="168">
        <f>('Pivot Table for Data Exchange'!$D$493)*100</f>
        <v>36.132134940282121</v>
      </c>
      <c r="K88" s="168">
        <f>('Pivot Table for Data Exchange'!$D$496)*100</f>
        <v>3.1710381852110059</v>
      </c>
      <c r="L88" s="169">
        <f>SUM(M88:O88)</f>
        <v>60.696826874506883</v>
      </c>
      <c r="M88" s="168">
        <f>('Pivot Table for Data Exchange'!$D$499)*100</f>
        <v>60.265589059166835</v>
      </c>
      <c r="N88" s="168">
        <f>('Pivot Table for Data Exchange'!$D$502)*100</f>
        <v>0.25590395043896086</v>
      </c>
      <c r="O88" s="175">
        <f>('Pivot Table for Data Exchange'!$D$505)*100</f>
        <v>0.17533386490108249</v>
      </c>
      <c r="P88" s="168">
        <f>('Pivot Table for Data Exchange'!$D$508)*100</f>
        <v>0</v>
      </c>
      <c r="Q88" s="173">
        <f t="shared" si="4"/>
        <v>100</v>
      </c>
      <c r="R88" s="173">
        <f t="shared" si="5"/>
        <v>100</v>
      </c>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row>
    <row r="89" spans="1:41" ht="15.75" customHeight="1">
      <c r="A89" s="139" t="s">
        <v>632</v>
      </c>
      <c r="B89" s="168">
        <f>('Pivot Table for Data Exchange'!$D$511)*100</f>
        <v>54.63107125234734</v>
      </c>
      <c r="C89" s="168">
        <f>('Pivot Table for Data Exchange'!$D$514)*100</f>
        <v>2.211551678721229</v>
      </c>
      <c r="D89" s="169">
        <f>SUM(E89:G89)</f>
        <v>43.157377068931432</v>
      </c>
      <c r="E89" s="168">
        <f>('Pivot Table for Data Exchange'!$D$517)*100</f>
        <v>34.284171493694153</v>
      </c>
      <c r="F89" s="180">
        <f>('Pivot Table for Data Exchange'!$D$520)*100</f>
        <v>8.8732055752372805</v>
      </c>
      <c r="G89" s="176">
        <f>('Pivot Table for Data Exchange'!$D$523)*100</f>
        <v>0</v>
      </c>
      <c r="H89" s="168">
        <f>('Pivot Table for Data Exchange'!$D$526)*100</f>
        <v>0</v>
      </c>
      <c r="I89" s="174" t="s">
        <v>632</v>
      </c>
      <c r="J89" s="168">
        <f>('Pivot Table for Data Exchange'!$D$529)*100</f>
        <v>45.706422461313139</v>
      </c>
      <c r="K89" s="168">
        <f>('Pivot Table for Data Exchange'!$D$532)*100</f>
        <v>5.5565838074468683</v>
      </c>
      <c r="L89" s="169">
        <f>SUM(M89:O89)</f>
        <v>48.736993731239991</v>
      </c>
      <c r="M89" s="168">
        <f>('Pivot Table for Data Exchange'!$D$535)*100</f>
        <v>41.633740252842671</v>
      </c>
      <c r="N89" s="168">
        <f>('Pivot Table for Data Exchange'!$D$538)*100</f>
        <v>7.1032534783973214</v>
      </c>
      <c r="O89" s="176">
        <f>('Pivot Table for Data Exchange'!$D$541)*100</f>
        <v>0</v>
      </c>
      <c r="P89" s="168">
        <f>('Pivot Table for Data Exchange'!$D$544)*100</f>
        <v>0</v>
      </c>
      <c r="Q89" s="173">
        <f t="shared" si="4"/>
        <v>100</v>
      </c>
      <c r="R89" s="173">
        <f t="shared" si="5"/>
        <v>100</v>
      </c>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row>
    <row r="90" spans="1:41" ht="15.75" customHeight="1">
      <c r="A90" s="145" t="s">
        <v>633</v>
      </c>
      <c r="B90" s="181">
        <f>('Pivot Table for Data Exchange'!$D$547)*100</f>
        <v>0</v>
      </c>
      <c r="C90" s="181">
        <f>('Pivot Table for Data Exchange'!$D$550)*100</f>
        <v>0</v>
      </c>
      <c r="D90" s="182">
        <f>SUM(E90:G90)</f>
        <v>0</v>
      </c>
      <c r="E90" s="181">
        <f>('Pivot Table for Data Exchange'!$D$553)*100</f>
        <v>0</v>
      </c>
      <c r="F90" s="181">
        <f>('Pivot Table for Data Exchange'!$D$556)*100</f>
        <v>0</v>
      </c>
      <c r="G90" s="183">
        <f>('Pivot Table for Data Exchange'!$D$559)*100</f>
        <v>0</v>
      </c>
      <c r="H90" s="181">
        <f>('Pivot Table for Data Exchange'!$D$562)*100</f>
        <v>0</v>
      </c>
      <c r="I90" s="184" t="s">
        <v>633</v>
      </c>
      <c r="J90" s="181">
        <f>('Pivot Table for Data Exchange'!$D$565)*100</f>
        <v>0</v>
      </c>
      <c r="K90" s="181">
        <f>('Pivot Table for Data Exchange'!$D$568)*100</f>
        <v>0</v>
      </c>
      <c r="L90" s="182">
        <f>SUM(M90:O90)</f>
        <v>0</v>
      </c>
      <c r="M90" s="181">
        <f>('Pivot Table for Data Exchange'!$D$571)*100</f>
        <v>0</v>
      </c>
      <c r="N90" s="181">
        <f>('Pivot Table for Data Exchange'!$D$574)*100</f>
        <v>0</v>
      </c>
      <c r="O90" s="183">
        <f>('Pivot Table for Data Exchange'!$D$577)*100</f>
        <v>0</v>
      </c>
      <c r="P90" s="181">
        <f>('Pivot Table for Data Exchange'!$D$580)*100</f>
        <v>0</v>
      </c>
      <c r="Q90" s="173">
        <f t="shared" si="4"/>
        <v>0</v>
      </c>
      <c r="R90" s="173">
        <f t="shared" si="5"/>
        <v>0</v>
      </c>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row>
    <row r="91" spans="1:41" s="212" customFormat="1" ht="18" customHeight="1">
      <c r="A91" s="187" t="s">
        <v>658</v>
      </c>
      <c r="B91" s="188"/>
      <c r="C91" s="188"/>
      <c r="D91" s="189"/>
      <c r="E91" s="188"/>
      <c r="F91" s="189"/>
      <c r="G91" s="189"/>
      <c r="H91" s="188"/>
      <c r="I91" s="187" t="s">
        <v>658</v>
      </c>
      <c r="J91" s="188"/>
      <c r="K91" s="188"/>
      <c r="L91" s="189"/>
      <c r="M91" s="188"/>
      <c r="N91" s="189"/>
      <c r="O91" s="189"/>
      <c r="P91" s="188"/>
      <c r="Q91" s="173">
        <f t="shared" ref="Q91:Q153" si="14">SUM(B91,C91,D91,H91)</f>
        <v>0</v>
      </c>
      <c r="R91" s="173">
        <f t="shared" ref="R91:R153" si="15">SUM(J91,K91,L91,P91)</f>
        <v>0</v>
      </c>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row>
    <row r="92" spans="1:41" s="212" customFormat="1" ht="9.75" customHeight="1">
      <c r="A92" s="191"/>
      <c r="B92" s="200"/>
      <c r="C92" s="200"/>
      <c r="D92" s="200"/>
      <c r="E92" s="200"/>
      <c r="F92" s="200"/>
      <c r="G92" s="200"/>
      <c r="H92" s="200"/>
      <c r="I92" s="191"/>
      <c r="J92" s="200"/>
      <c r="K92" s="200"/>
      <c r="L92" s="200"/>
      <c r="M92" s="200"/>
      <c r="N92" s="200"/>
      <c r="O92" s="200"/>
      <c r="P92" s="200"/>
      <c r="Q92" s="173">
        <f t="shared" si="14"/>
        <v>0</v>
      </c>
      <c r="R92" s="173">
        <f t="shared" si="15"/>
        <v>0</v>
      </c>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row>
    <row r="93" spans="1:41" s="212" customFormat="1" ht="13.5" customHeight="1">
      <c r="A93" s="197"/>
      <c r="B93" s="198"/>
      <c r="C93" s="186"/>
      <c r="D93" s="186"/>
      <c r="E93" s="186"/>
      <c r="F93" s="186"/>
      <c r="G93" s="186"/>
      <c r="H93" s="192" t="s">
        <v>923</v>
      </c>
      <c r="I93" s="197"/>
      <c r="J93" s="186"/>
      <c r="K93" s="186"/>
      <c r="L93" s="186"/>
      <c r="M93" s="186"/>
      <c r="N93" s="186"/>
      <c r="O93" s="186"/>
      <c r="P93" s="192" t="s">
        <v>923</v>
      </c>
      <c r="Q93" s="173">
        <f t="shared" si="14"/>
        <v>0</v>
      </c>
      <c r="R93" s="173">
        <f t="shared" si="15"/>
        <v>0</v>
      </c>
    </row>
    <row r="94" spans="1:41" ht="18">
      <c r="A94" s="134" t="s">
        <v>662</v>
      </c>
      <c r="B94" s="135"/>
      <c r="C94" s="135"/>
      <c r="D94" s="135"/>
      <c r="E94" s="135"/>
      <c r="F94" s="135"/>
      <c r="G94" s="135"/>
      <c r="H94" s="135"/>
      <c r="I94" s="134" t="s">
        <v>663</v>
      </c>
      <c r="J94" s="136"/>
      <c r="K94" s="136"/>
      <c r="L94" s="135"/>
      <c r="M94" s="136"/>
      <c r="N94" s="136"/>
      <c r="O94" s="136"/>
      <c r="P94" s="136"/>
      <c r="Q94" s="173">
        <f t="shared" si="14"/>
        <v>0</v>
      </c>
      <c r="R94" s="173">
        <f t="shared" si="15"/>
        <v>0</v>
      </c>
    </row>
    <row r="95" spans="1:41" ht="13">
      <c r="A95" s="140"/>
      <c r="B95" s="136"/>
      <c r="C95" s="136"/>
      <c r="D95" s="136"/>
      <c r="E95" s="136"/>
      <c r="F95" s="136"/>
      <c r="G95" s="136"/>
      <c r="H95" s="136"/>
      <c r="I95" s="140"/>
      <c r="J95" s="136"/>
      <c r="K95" s="136"/>
      <c r="L95" s="136"/>
      <c r="M95" s="136"/>
      <c r="N95" s="136"/>
      <c r="O95" s="136"/>
      <c r="P95" s="136"/>
      <c r="Q95" s="173">
        <f t="shared" si="14"/>
        <v>0</v>
      </c>
      <c r="R95" s="173">
        <f t="shared" si="15"/>
        <v>0</v>
      </c>
    </row>
    <row r="96" spans="1:41" ht="15.5">
      <c r="A96" s="142" t="s">
        <v>639</v>
      </c>
      <c r="B96" s="136"/>
      <c r="C96" s="136"/>
      <c r="D96" s="136"/>
      <c r="E96" s="136"/>
      <c r="F96" s="136"/>
      <c r="G96" s="136"/>
      <c r="H96" s="136"/>
      <c r="I96" s="142" t="s">
        <v>640</v>
      </c>
      <c r="J96" s="136"/>
      <c r="K96" s="136"/>
      <c r="L96" s="136"/>
      <c r="M96" s="136"/>
      <c r="N96" s="136"/>
      <c r="O96" s="136"/>
      <c r="P96" s="136"/>
      <c r="Q96" s="173">
        <f t="shared" si="14"/>
        <v>0</v>
      </c>
      <c r="R96" s="173">
        <f t="shared" si="15"/>
        <v>0</v>
      </c>
    </row>
    <row r="97" spans="1:41" ht="15.5">
      <c r="A97" s="142" t="s">
        <v>884</v>
      </c>
      <c r="B97" s="136"/>
      <c r="C97" s="136"/>
      <c r="D97" s="136"/>
      <c r="E97" s="136"/>
      <c r="F97" s="136"/>
      <c r="G97" s="136"/>
      <c r="H97" s="136"/>
      <c r="I97" s="142" t="s">
        <v>884</v>
      </c>
      <c r="J97" s="136"/>
      <c r="K97" s="136"/>
      <c r="L97" s="136"/>
      <c r="M97" s="136"/>
      <c r="N97" s="136"/>
      <c r="O97" s="136"/>
      <c r="P97" s="136"/>
      <c r="Q97" s="173">
        <f t="shared" si="14"/>
        <v>0</v>
      </c>
      <c r="R97" s="173">
        <f t="shared" si="15"/>
        <v>0</v>
      </c>
    </row>
    <row r="98" spans="1:41">
      <c r="A98" s="145"/>
      <c r="B98" s="146"/>
      <c r="C98" s="146"/>
      <c r="D98" s="146"/>
      <c r="E98" s="146"/>
      <c r="F98" s="146"/>
      <c r="G98" s="146"/>
      <c r="H98" s="146"/>
      <c r="I98" s="147"/>
      <c r="L98" s="148"/>
      <c r="P98" s="145"/>
      <c r="Q98" s="173">
        <f t="shared" si="14"/>
        <v>0</v>
      </c>
      <c r="R98" s="173">
        <f t="shared" si="15"/>
        <v>0</v>
      </c>
    </row>
    <row r="99" spans="1:41" s="166" customFormat="1">
      <c r="A99" s="150"/>
      <c r="B99" s="151" t="s">
        <v>641</v>
      </c>
      <c r="C99" s="151"/>
      <c r="D99" s="151"/>
      <c r="E99" s="151"/>
      <c r="F99" s="151"/>
      <c r="G99" s="151"/>
      <c r="H99" s="152"/>
      <c r="I99" s="150"/>
      <c r="J99" s="151" t="s">
        <v>641</v>
      </c>
      <c r="K99" s="151"/>
      <c r="L99" s="151"/>
      <c r="M99" s="151"/>
      <c r="N99" s="151"/>
      <c r="O99" s="151"/>
      <c r="P99" s="152"/>
      <c r="Q99" s="173">
        <f t="shared" si="14"/>
        <v>0</v>
      </c>
      <c r="R99" s="173">
        <f t="shared" si="15"/>
        <v>0</v>
      </c>
    </row>
    <row r="100" spans="1:41" s="166" customFormat="1">
      <c r="A100" s="150"/>
      <c r="B100" s="151" t="s">
        <v>642</v>
      </c>
      <c r="C100" s="151"/>
      <c r="D100" s="487" t="s">
        <v>643</v>
      </c>
      <c r="E100" s="485"/>
      <c r="F100" s="485"/>
      <c r="G100" s="485"/>
      <c r="H100" s="158" t="s">
        <v>533</v>
      </c>
      <c r="I100" s="150"/>
      <c r="J100" s="151" t="s">
        <v>642</v>
      </c>
      <c r="K100" s="151"/>
      <c r="L100" s="487" t="s">
        <v>643</v>
      </c>
      <c r="M100" s="485"/>
      <c r="N100" s="485"/>
      <c r="O100" s="485"/>
      <c r="P100" s="158" t="s">
        <v>533</v>
      </c>
      <c r="Q100" s="173">
        <f t="shared" si="14"/>
        <v>0</v>
      </c>
      <c r="R100" s="173">
        <f t="shared" si="15"/>
        <v>0</v>
      </c>
    </row>
    <row r="101" spans="1:41" s="166" customFormat="1" ht="40.5" customHeight="1">
      <c r="A101" s="150"/>
      <c r="B101" s="159" t="s">
        <v>644</v>
      </c>
      <c r="C101" s="160" t="s">
        <v>645</v>
      </c>
      <c r="D101" s="161" t="s">
        <v>646</v>
      </c>
      <c r="E101" s="162" t="s">
        <v>8</v>
      </c>
      <c r="F101" s="159" t="s">
        <v>647</v>
      </c>
      <c r="G101" s="163" t="s">
        <v>656</v>
      </c>
      <c r="H101" s="164" t="s">
        <v>649</v>
      </c>
      <c r="I101" s="150"/>
      <c r="J101" s="159" t="s">
        <v>644</v>
      </c>
      <c r="K101" s="160" t="s">
        <v>645</v>
      </c>
      <c r="L101" s="161" t="s">
        <v>646</v>
      </c>
      <c r="M101" s="162" t="s">
        <v>8</v>
      </c>
      <c r="N101" s="159" t="s">
        <v>647</v>
      </c>
      <c r="O101" s="163" t="s">
        <v>656</v>
      </c>
      <c r="P101" s="164" t="s">
        <v>649</v>
      </c>
      <c r="Q101" s="173">
        <f t="shared" si="14"/>
        <v>0</v>
      </c>
      <c r="R101" s="173">
        <f t="shared" si="15"/>
        <v>0</v>
      </c>
      <c r="T101" s="165"/>
    </row>
    <row r="102" spans="1:41" ht="15.75" customHeight="1">
      <c r="A102" s="194" t="s">
        <v>618</v>
      </c>
      <c r="B102" s="221">
        <f>('Pivot Table for Data Exchange'!$E$7)*100</f>
        <v>51.180811651972633</v>
      </c>
      <c r="C102" s="168">
        <f>('Pivot Table for Data Exchange'!$E$10)*100</f>
        <v>0.29620790409634373</v>
      </c>
      <c r="D102" s="169">
        <f>SUM(E102:G102)</f>
        <v>48.522980443931019</v>
      </c>
      <c r="E102" s="168">
        <f>('Pivot Table for Data Exchange'!$E$13)*100</f>
        <v>47.588021352358346</v>
      </c>
      <c r="F102" s="168">
        <f>('Pivot Table for Data Exchange'!$E$16)*100</f>
        <v>0</v>
      </c>
      <c r="G102" s="201">
        <f>('Pivot Table for Data Exchange'!$E$19)*100</f>
        <v>0.93495909157267354</v>
      </c>
      <c r="H102" s="168">
        <f>('Pivot Table for Data Exchange'!$E$22)*100</f>
        <v>0</v>
      </c>
      <c r="I102" s="171" t="s">
        <v>618</v>
      </c>
      <c r="J102" s="168">
        <f>('Pivot Table for Data Exchange'!$E$25)*100</f>
        <v>19.783228750713064</v>
      </c>
      <c r="K102" s="168">
        <f>('Pivot Table for Data Exchange'!$E$28)*100</f>
        <v>0.99329720479178552</v>
      </c>
      <c r="L102" s="169">
        <f>SUM(M102:O102)</f>
        <v>79.223474044495148</v>
      </c>
      <c r="M102" s="168">
        <f>('Pivot Table for Data Exchange'!$E$31)*100</f>
        <v>78.446948088990297</v>
      </c>
      <c r="N102" s="168">
        <f>('Pivot Table for Data Exchange'!$E$34)*100</f>
        <v>0</v>
      </c>
      <c r="O102" s="172">
        <f>('Pivot Table for Data Exchange'!$E$37)*100</f>
        <v>0.77652595550484882</v>
      </c>
      <c r="P102" s="168">
        <f>('Pivot Table for Data Exchange'!$E$40)*100</f>
        <v>0</v>
      </c>
      <c r="Q102" s="173">
        <f t="shared" si="14"/>
        <v>100</v>
      </c>
      <c r="R102" s="173">
        <f t="shared" si="15"/>
        <v>100</v>
      </c>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row>
    <row r="103" spans="1:41" ht="15.75" customHeight="1">
      <c r="A103" s="139" t="s">
        <v>619</v>
      </c>
      <c r="B103" s="168">
        <f>('Pivot Table for Data Exchange'!$E$43)*100</f>
        <v>67.680817535496857</v>
      </c>
      <c r="C103" s="168">
        <f>('Pivot Table for Data Exchange'!$E$46)*100</f>
        <v>4.5447093112274279</v>
      </c>
      <c r="D103" s="169">
        <f t="shared" ref="D103:D105" si="16">SUM(E103:G103)</f>
        <v>27.774473153275714</v>
      </c>
      <c r="E103" s="168">
        <f>('Pivot Table for Data Exchange'!$E$49)*100</f>
        <v>26.717866516355183</v>
      </c>
      <c r="F103" s="168">
        <f>('Pivot Table for Data Exchange'!$E$52)*100</f>
        <v>0.28156304071824317</v>
      </c>
      <c r="G103" s="176">
        <f>('Pivot Table for Data Exchange'!$E$55)*100</f>
        <v>0.77504359620228636</v>
      </c>
      <c r="H103" s="180">
        <f>('Pivot Table for Data Exchange'!$E$58)*100</f>
        <v>0</v>
      </c>
      <c r="I103" s="174" t="s">
        <v>619</v>
      </c>
      <c r="J103" s="168">
        <f>('Pivot Table for Data Exchange'!$E$61)*100</f>
        <v>24.754402643849879</v>
      </c>
      <c r="K103" s="168">
        <f>('Pivot Table for Data Exchange'!$E$64)*100</f>
        <v>2.7162841233192993E-2</v>
      </c>
      <c r="L103" s="169">
        <f t="shared" ref="L103:L105" si="17">SUM(M103:O103)</f>
        <v>75.218434514916922</v>
      </c>
      <c r="M103" s="168">
        <f>('Pivot Table for Data Exchange'!$E$67)*100</f>
        <v>72.84491957858792</v>
      </c>
      <c r="N103" s="168">
        <f>('Pivot Table for Data Exchange'!$E$70)*100</f>
        <v>1.3057565821384918</v>
      </c>
      <c r="O103" s="176">
        <f>('Pivot Table for Data Exchange'!$E$73)*100</f>
        <v>1.0677583541905151</v>
      </c>
      <c r="P103" s="168">
        <f>('Pivot Table for Data Exchange'!$E$76)*100</f>
        <v>0</v>
      </c>
      <c r="Q103" s="173">
        <f t="shared" si="14"/>
        <v>100</v>
      </c>
      <c r="R103" s="173">
        <f t="shared" si="15"/>
        <v>100</v>
      </c>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row>
    <row r="104" spans="1:41" ht="15.75" customHeight="1">
      <c r="A104" s="139" t="s">
        <v>620</v>
      </c>
      <c r="B104" s="168">
        <f>('Pivot Table for Data Exchange'!$E$79)*100</f>
        <v>79.296311481633325</v>
      </c>
      <c r="C104" s="168">
        <f>('Pivot Table for Data Exchange'!$E$82)*100</f>
        <v>0</v>
      </c>
      <c r="D104" s="169">
        <f t="shared" si="16"/>
        <v>20.703688518366665</v>
      </c>
      <c r="E104" s="168">
        <f>('Pivot Table for Data Exchange'!$E$85)*100</f>
        <v>20.703688518366665</v>
      </c>
      <c r="F104" s="168">
        <f>('Pivot Table for Data Exchange'!$E$88)*100</f>
        <v>0</v>
      </c>
      <c r="G104" s="176">
        <f>('Pivot Table for Data Exchange'!$E$91)*100</f>
        <v>0</v>
      </c>
      <c r="H104" s="168">
        <f>('Pivot Table for Data Exchange'!$E$94)*100</f>
        <v>0</v>
      </c>
      <c r="I104" s="174" t="s">
        <v>620</v>
      </c>
      <c r="J104" s="168">
        <f>('Pivot Table for Data Exchange'!$E$97)*100</f>
        <v>54.222792388283089</v>
      </c>
      <c r="K104" s="168">
        <f>('Pivot Table for Data Exchange'!$E$100)*100</f>
        <v>0</v>
      </c>
      <c r="L104" s="169">
        <f t="shared" si="17"/>
        <v>45.777207611716911</v>
      </c>
      <c r="M104" s="168">
        <f>('Pivot Table for Data Exchange'!$E$103)*100</f>
        <v>45.777207611716911</v>
      </c>
      <c r="N104" s="168">
        <f>('Pivot Table for Data Exchange'!$E$106)*100</f>
        <v>0</v>
      </c>
      <c r="O104" s="176">
        <f>('Pivot Table for Data Exchange'!$E$109)*100</f>
        <v>0</v>
      </c>
      <c r="P104" s="168">
        <f>('Pivot Table for Data Exchange'!$E$112)*100</f>
        <v>0</v>
      </c>
      <c r="Q104" s="173">
        <f t="shared" si="14"/>
        <v>99.999999999999986</v>
      </c>
      <c r="R104" s="173">
        <f t="shared" si="15"/>
        <v>100</v>
      </c>
      <c r="S104" s="222"/>
      <c r="T104" s="226"/>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row>
    <row r="105" spans="1:41" ht="15.75" customHeight="1">
      <c r="A105" s="139" t="s">
        <v>657</v>
      </c>
      <c r="B105" s="168">
        <f>('Pivot Table for Data Exchange'!$E$115)*100</f>
        <v>0</v>
      </c>
      <c r="C105" s="168">
        <f>('Pivot Table for Data Exchange'!$E$118)*100</f>
        <v>0</v>
      </c>
      <c r="D105" s="169">
        <f t="shared" si="16"/>
        <v>0</v>
      </c>
      <c r="E105" s="168">
        <f>('Pivot Table for Data Exchange'!$E$121)*100</f>
        <v>0</v>
      </c>
      <c r="F105" s="168">
        <f>('Pivot Table for Data Exchange'!$E$124)*100</f>
        <v>0</v>
      </c>
      <c r="G105" s="176">
        <f>('Pivot Table for Data Exchange'!$E$127)*100</f>
        <v>0</v>
      </c>
      <c r="H105" s="168">
        <f>('Pivot Table for Data Exchange'!$E$130)*100</f>
        <v>0</v>
      </c>
      <c r="I105" s="174" t="s">
        <v>657</v>
      </c>
      <c r="J105" s="168">
        <f>('Pivot Table for Data Exchange'!$E$133)*100</f>
        <v>0</v>
      </c>
      <c r="K105" s="168">
        <f>('Pivot Table for Data Exchange'!$E$136)*100</f>
        <v>0</v>
      </c>
      <c r="L105" s="169">
        <f t="shared" si="17"/>
        <v>0</v>
      </c>
      <c r="M105" s="168">
        <f>('Pivot Table for Data Exchange'!$E$139)*100</f>
        <v>0</v>
      </c>
      <c r="N105" s="168">
        <f>('Pivot Table for Data Exchange'!$E$142)*100</f>
        <v>0</v>
      </c>
      <c r="O105" s="176">
        <f>('Pivot Table for Data Exchange'!$E$145)*100</f>
        <v>0</v>
      </c>
      <c r="P105" s="168">
        <f>('Pivot Table for Data Exchange'!$E$148)*100</f>
        <v>0</v>
      </c>
      <c r="Q105" s="173">
        <f t="shared" si="14"/>
        <v>0</v>
      </c>
      <c r="R105" s="173">
        <f t="shared" si="15"/>
        <v>0</v>
      </c>
      <c r="S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row>
    <row r="106" spans="1:41" ht="11.25" customHeight="1">
      <c r="B106" s="168"/>
      <c r="C106" s="168"/>
      <c r="D106" s="169"/>
      <c r="E106" s="168"/>
      <c r="F106" s="168"/>
      <c r="G106" s="176"/>
      <c r="H106" s="168"/>
      <c r="I106" s="174"/>
      <c r="J106" s="168"/>
      <c r="K106" s="168"/>
      <c r="L106" s="169"/>
      <c r="M106" s="168"/>
      <c r="N106" s="168"/>
      <c r="O106" s="176"/>
      <c r="P106" s="168"/>
      <c r="Q106" s="173">
        <f t="shared" si="14"/>
        <v>0</v>
      </c>
      <c r="R106" s="173">
        <f t="shared" si="15"/>
        <v>0</v>
      </c>
      <c r="S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row>
    <row r="107" spans="1:41" ht="15.75" customHeight="1">
      <c r="A107" s="139" t="s">
        <v>622</v>
      </c>
      <c r="B107" s="168">
        <f>('Pivot Table for Data Exchange'!$E$151)*100</f>
        <v>50.187404824352988</v>
      </c>
      <c r="C107" s="168">
        <f>('Pivot Table for Data Exchange'!$E$154)*100</f>
        <v>0.70729302687554485</v>
      </c>
      <c r="D107" s="169">
        <f t="shared" ref="D107:D108" si="18">SUM(E107:G107)</f>
        <v>49.105302148771457</v>
      </c>
      <c r="E107" s="168">
        <f>('Pivot Table for Data Exchange'!$E$157)*100</f>
        <v>49.089026411592812</v>
      </c>
      <c r="F107" s="180">
        <f>('Pivot Table for Data Exchange'!$E$160)*100</f>
        <v>1.2580957761655858E-2</v>
      </c>
      <c r="G107" s="175">
        <f>('Pivot Table for Data Exchange'!$E$163)*100</f>
        <v>3.6947794169918695E-3</v>
      </c>
      <c r="H107" s="168">
        <f>('Pivot Table for Data Exchange'!$E$166)*100</f>
        <v>0</v>
      </c>
      <c r="I107" s="174" t="s">
        <v>622</v>
      </c>
      <c r="J107" s="168">
        <f>('Pivot Table for Data Exchange'!$E$169)*100</f>
        <v>20.360750107496685</v>
      </c>
      <c r="K107" s="168">
        <f>('Pivot Table for Data Exchange'!$E$172)*100</f>
        <v>0.54143229463745102</v>
      </c>
      <c r="L107" s="169">
        <f t="shared" ref="L107:L108" si="19">SUM(M107:O107)</f>
        <v>79.097817597865856</v>
      </c>
      <c r="M107" s="168">
        <f>('Pivot Table for Data Exchange'!$E$175)*100</f>
        <v>79.07807330835314</v>
      </c>
      <c r="N107" s="177">
        <f>('Pivot Table for Data Exchange'!$E$178)*100</f>
        <v>1.9744289512710934E-2</v>
      </c>
      <c r="O107" s="176">
        <f>('Pivot Table for Data Exchange'!$E$181)*100</f>
        <v>0</v>
      </c>
      <c r="P107" s="168">
        <f>('Pivot Table for Data Exchange'!$E$184)*100</f>
        <v>0</v>
      </c>
      <c r="Q107" s="173">
        <f t="shared" si="14"/>
        <v>100</v>
      </c>
      <c r="R107" s="173">
        <f t="shared" si="15"/>
        <v>100</v>
      </c>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row>
    <row r="108" spans="1:41" ht="15.75" customHeight="1">
      <c r="A108" s="139" t="s">
        <v>623</v>
      </c>
      <c r="B108" s="168">
        <f>('Pivot Table for Data Exchange'!$E$187)*100</f>
        <v>57.196989849492475</v>
      </c>
      <c r="C108" s="168">
        <f>('Pivot Table for Data Exchange'!$E$190)*100</f>
        <v>6.6142807140357016</v>
      </c>
      <c r="D108" s="169">
        <f t="shared" si="18"/>
        <v>36.188729436471824</v>
      </c>
      <c r="E108" s="168">
        <f>('Pivot Table for Data Exchange'!$E$193)*100</f>
        <v>35.111305565278258</v>
      </c>
      <c r="F108" s="168">
        <f>('Pivot Table for Data Exchange'!$E$196)*100</f>
        <v>1.0704935246762339</v>
      </c>
      <c r="G108" s="175">
        <f>('Pivot Table for Data Exchange'!$E$199)*100</f>
        <v>6.9303465173258657E-3</v>
      </c>
      <c r="H108" s="168">
        <f>('Pivot Table for Data Exchange'!$E$202)*100</f>
        <v>0</v>
      </c>
      <c r="I108" s="174" t="s">
        <v>623</v>
      </c>
      <c r="J108" s="168">
        <f>('Pivot Table for Data Exchange'!$E$205)*100</f>
        <v>24.143307222545911</v>
      </c>
      <c r="K108" s="168">
        <f>('Pivot Table for Data Exchange'!$E$208)*100</f>
        <v>3.6323126389158626</v>
      </c>
      <c r="L108" s="169">
        <f t="shared" si="19"/>
        <v>72.224380138538223</v>
      </c>
      <c r="M108" s="168">
        <f>('Pivot Table for Data Exchange'!$E$211)*100</f>
        <v>72.141839839451023</v>
      </c>
      <c r="N108" s="168">
        <f>('Pivot Table for Data Exchange'!$E$214)*100</f>
        <v>8.0921861850197452E-2</v>
      </c>
      <c r="O108" s="175">
        <f>('Pivot Table for Data Exchange'!$E$217)*100</f>
        <v>1.6184372370039489E-3</v>
      </c>
      <c r="P108" s="168">
        <f>('Pivot Table for Data Exchange'!$E$220)*100</f>
        <v>0</v>
      </c>
      <c r="Q108" s="173">
        <f t="shared" si="14"/>
        <v>100</v>
      </c>
      <c r="R108" s="173">
        <f t="shared" si="15"/>
        <v>100</v>
      </c>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row>
    <row r="109" spans="1:41" ht="15.75" customHeight="1">
      <c r="A109" s="139" t="s">
        <v>624</v>
      </c>
      <c r="B109" s="168">
        <f>('Pivot Table for Data Exchange'!$E$223)*100</f>
        <v>60.041296219418108</v>
      </c>
      <c r="C109" s="168">
        <f>('Pivot Table for Data Exchange'!$E$226)*100</f>
        <v>0</v>
      </c>
      <c r="D109" s="169">
        <f>SUM(E109:G109)</f>
        <v>39.958703780581907</v>
      </c>
      <c r="E109" s="168">
        <f>('Pivot Table for Data Exchange'!$E$229)*100</f>
        <v>39.958703780581907</v>
      </c>
      <c r="F109" s="168">
        <f>('Pivot Table for Data Exchange'!$E$232)*100</f>
        <v>0</v>
      </c>
      <c r="G109" s="176">
        <f>('Pivot Table for Data Exchange'!$E$235)*100</f>
        <v>0</v>
      </c>
      <c r="H109" s="168">
        <f>('Pivot Table for Data Exchange'!$E$238)*100</f>
        <v>0</v>
      </c>
      <c r="I109" s="174" t="s">
        <v>624</v>
      </c>
      <c r="J109" s="168">
        <f>('Pivot Table for Data Exchange'!$E$241)*100</f>
        <v>40.222567864178949</v>
      </c>
      <c r="K109" s="168">
        <f>('Pivot Table for Data Exchange'!$E$244)*100</f>
        <v>0</v>
      </c>
      <c r="L109" s="169">
        <f>SUM(M109:O109)</f>
        <v>59.777432135821066</v>
      </c>
      <c r="M109" s="168">
        <f>('Pivot Table for Data Exchange'!$E$247)*100</f>
        <v>59.777432135821066</v>
      </c>
      <c r="N109" s="168">
        <f>('Pivot Table for Data Exchange'!$E$250)*100</f>
        <v>0</v>
      </c>
      <c r="O109" s="176">
        <f>('Pivot Table for Data Exchange'!$E$253)*100</f>
        <v>0</v>
      </c>
      <c r="P109" s="168">
        <f>('Pivot Table for Data Exchange'!$E$256)*100</f>
        <v>0</v>
      </c>
      <c r="Q109" s="173">
        <f t="shared" si="14"/>
        <v>100.00000000000001</v>
      </c>
      <c r="R109" s="173">
        <f t="shared" si="15"/>
        <v>100.00000000000001</v>
      </c>
      <c r="S109" s="222"/>
      <c r="T109" s="226"/>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row>
    <row r="110" spans="1:41" ht="15.75" customHeight="1">
      <c r="A110" s="139" t="s">
        <v>625</v>
      </c>
      <c r="B110" s="168">
        <f>('Pivot Table for Data Exchange'!$E$259)*100</f>
        <v>53.339994315196513</v>
      </c>
      <c r="C110" s="168">
        <f>('Pivot Table for Data Exchange'!$E$262)*100</f>
        <v>1.2766690496903506</v>
      </c>
      <c r="D110" s="169">
        <f>SUM(E110:G110)</f>
        <v>45.383336635113139</v>
      </c>
      <c r="E110" s="168">
        <f>('Pivot Table for Data Exchange'!$E$265)*100</f>
        <v>45.383336635113139</v>
      </c>
      <c r="F110" s="180">
        <f>('Pivot Table for Data Exchange'!$E$268)*100</f>
        <v>0</v>
      </c>
      <c r="G110" s="176">
        <f>('Pivot Table for Data Exchange'!$E$271)*100</f>
        <v>0</v>
      </c>
      <c r="H110" s="168">
        <f>('Pivot Table for Data Exchange'!$E$274)*100</f>
        <v>0</v>
      </c>
      <c r="I110" s="174" t="s">
        <v>625</v>
      </c>
      <c r="J110" s="168">
        <f>('Pivot Table for Data Exchange'!$E$277)*100</f>
        <v>54.649336486430421</v>
      </c>
      <c r="K110" s="168">
        <f>('Pivot Table for Data Exchange'!$E$280)*100</f>
        <v>5.1220047059381351</v>
      </c>
      <c r="L110" s="169">
        <f>SUM(M110:O110)</f>
        <v>40.228658807631447</v>
      </c>
      <c r="M110" s="168">
        <f>('Pivot Table for Data Exchange'!$E$283)*100</f>
        <v>40.228658807631447</v>
      </c>
      <c r="N110" s="168">
        <f>('Pivot Table for Data Exchange'!$E$286)*100</f>
        <v>0</v>
      </c>
      <c r="O110" s="176">
        <f>('Pivot Table for Data Exchange'!$E$289)*100</f>
        <v>0</v>
      </c>
      <c r="P110" s="168">
        <f>('Pivot Table for Data Exchange'!$E$292)*100</f>
        <v>0</v>
      </c>
      <c r="Q110" s="173">
        <f t="shared" si="14"/>
        <v>100</v>
      </c>
      <c r="R110" s="173">
        <f t="shared" si="15"/>
        <v>100</v>
      </c>
      <c r="S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row>
    <row r="111" spans="1:41" ht="11.25" customHeight="1">
      <c r="B111" s="168"/>
      <c r="C111" s="168"/>
      <c r="D111" s="169"/>
      <c r="E111" s="168"/>
      <c r="F111" s="168"/>
      <c r="G111" s="176"/>
      <c r="H111" s="168"/>
      <c r="I111" s="174"/>
      <c r="J111" s="168"/>
      <c r="K111" s="168"/>
      <c r="L111" s="169"/>
      <c r="M111" s="168"/>
      <c r="N111" s="168"/>
      <c r="O111" s="176"/>
      <c r="P111" s="168"/>
      <c r="Q111" s="173">
        <f t="shared" si="14"/>
        <v>0</v>
      </c>
      <c r="R111" s="173">
        <f t="shared" si="15"/>
        <v>0</v>
      </c>
      <c r="S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row>
    <row r="112" spans="1:41" ht="15.75" customHeight="1">
      <c r="A112" s="139" t="s">
        <v>626</v>
      </c>
      <c r="B112" s="168">
        <f>('Pivot Table for Data Exchange'!$E$295)*100</f>
        <v>0</v>
      </c>
      <c r="C112" s="168">
        <f>('Pivot Table for Data Exchange'!$E$298)*100</f>
        <v>0</v>
      </c>
      <c r="D112" s="169">
        <f>SUM(E112:G112)</f>
        <v>0</v>
      </c>
      <c r="E112" s="168">
        <f>('Pivot Table for Data Exchange'!$E$301)*100</f>
        <v>0</v>
      </c>
      <c r="F112" s="168">
        <f>('Pivot Table for Data Exchange'!$E$304)*100</f>
        <v>0</v>
      </c>
      <c r="G112" s="176">
        <f>('Pivot Table for Data Exchange'!$E$307)*100</f>
        <v>0</v>
      </c>
      <c r="H112" s="168">
        <f>('Pivot Table for Data Exchange'!$E$310)*100</f>
        <v>0</v>
      </c>
      <c r="I112" s="174" t="s">
        <v>626</v>
      </c>
      <c r="J112" s="168">
        <f>('Pivot Table for Data Exchange'!$E$313)*100</f>
        <v>0</v>
      </c>
      <c r="K112" s="168">
        <f>('Pivot Table for Data Exchange'!$E$316)*100</f>
        <v>0</v>
      </c>
      <c r="L112" s="169">
        <f>SUM(M112:O112)</f>
        <v>0</v>
      </c>
      <c r="M112" s="168">
        <f>('Pivot Table for Data Exchange'!$E$319)*100</f>
        <v>0</v>
      </c>
      <c r="N112" s="168">
        <f>('Pivot Table for Data Exchange'!$E$322)*100</f>
        <v>0</v>
      </c>
      <c r="O112" s="176">
        <f>('Pivot Table for Data Exchange'!$E$325)*100</f>
        <v>0</v>
      </c>
      <c r="P112" s="168">
        <f>('Pivot Table for Data Exchange'!$E$328)*100</f>
        <v>0</v>
      </c>
      <c r="Q112" s="173">
        <f t="shared" si="14"/>
        <v>0</v>
      </c>
      <c r="R112" s="173">
        <f t="shared" si="15"/>
        <v>0</v>
      </c>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row>
    <row r="113" spans="1:41" ht="15.75" customHeight="1">
      <c r="A113" s="139" t="s">
        <v>627</v>
      </c>
      <c r="B113" s="168">
        <f>('Pivot Table for Data Exchange'!$E$331)*100</f>
        <v>45.076167490026236</v>
      </c>
      <c r="C113" s="168">
        <f>('Pivot Table for Data Exchange'!$E$334)*100</f>
        <v>2.8667218905966263</v>
      </c>
      <c r="D113" s="169">
        <f>SUM(E113:G113)</f>
        <v>52.057110619377134</v>
      </c>
      <c r="E113" s="168">
        <f>('Pivot Table for Data Exchange'!$E$337)*100</f>
        <v>52.047938678363678</v>
      </c>
      <c r="F113" s="180">
        <f>('Pivot Table for Data Exchange'!$E$340)*100</f>
        <v>9.1719410134591031E-3</v>
      </c>
      <c r="G113" s="175">
        <f>('Pivot Table for Data Exchange'!$E$343)*100</f>
        <v>0</v>
      </c>
      <c r="H113" s="168">
        <f>('Pivot Table for Data Exchange'!$E$346)*100</f>
        <v>0</v>
      </c>
      <c r="I113" s="174" t="s">
        <v>627</v>
      </c>
      <c r="J113" s="168">
        <f>('Pivot Table for Data Exchange'!$E$349)*100</f>
        <v>28.886505789874061</v>
      </c>
      <c r="K113" s="168">
        <f>('Pivot Table for Data Exchange'!$E$352)*100</f>
        <v>8.4497295241315182</v>
      </c>
      <c r="L113" s="169">
        <f>SUM(M113:O113)</f>
        <v>62.663764685994416</v>
      </c>
      <c r="M113" s="168">
        <f>('Pivot Table for Data Exchange'!$E$355)*100</f>
        <v>62.663764685994416</v>
      </c>
      <c r="N113" s="180">
        <f>('Pivot Table for Data Exchange'!$E$358)*100</f>
        <v>0</v>
      </c>
      <c r="O113" s="176">
        <f>('Pivot Table for Data Exchange'!$E$361)*100</f>
        <v>0</v>
      </c>
      <c r="P113" s="168">
        <f>('Pivot Table for Data Exchange'!$E$364)*100</f>
        <v>0</v>
      </c>
      <c r="Q113" s="173">
        <f t="shared" si="14"/>
        <v>100</v>
      </c>
      <c r="R113" s="173">
        <f t="shared" si="15"/>
        <v>100</v>
      </c>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row>
    <row r="114" spans="1:41" ht="15.75" customHeight="1">
      <c r="A114" s="139" t="s">
        <v>628</v>
      </c>
      <c r="B114" s="168">
        <f>('Pivot Table for Data Exchange'!$E$367)*100</f>
        <v>0</v>
      </c>
      <c r="C114" s="168">
        <f>('Pivot Table for Data Exchange'!$E$370)*100</f>
        <v>0</v>
      </c>
      <c r="D114" s="169">
        <f>SUM(E114:G114)</f>
        <v>0</v>
      </c>
      <c r="E114" s="168">
        <f>('Pivot Table for Data Exchange'!$E$373)*100</f>
        <v>0</v>
      </c>
      <c r="F114" s="168">
        <f>('Pivot Table for Data Exchange'!$E$376)*100</f>
        <v>0</v>
      </c>
      <c r="G114" s="176">
        <f>('Pivot Table for Data Exchange'!$E$379)*100</f>
        <v>0</v>
      </c>
      <c r="H114" s="168">
        <f>('Pivot Table for Data Exchange'!$E$382)*100</f>
        <v>0</v>
      </c>
      <c r="I114" s="174" t="s">
        <v>628</v>
      </c>
      <c r="J114" s="168">
        <f>('Pivot Table for Data Exchange'!$E$385)*100</f>
        <v>0</v>
      </c>
      <c r="K114" s="168">
        <f>('Pivot Table for Data Exchange'!$E$388)*100</f>
        <v>0</v>
      </c>
      <c r="L114" s="169">
        <f>SUM(M114:O114)</f>
        <v>0</v>
      </c>
      <c r="M114" s="168">
        <f>('Pivot Table for Data Exchange'!$E$391)*100</f>
        <v>0</v>
      </c>
      <c r="N114" s="168">
        <f>('Pivot Table for Data Exchange'!$E$394)*100</f>
        <v>0</v>
      </c>
      <c r="O114" s="176">
        <f>('Pivot Table for Data Exchange'!$E$397)*100</f>
        <v>0</v>
      </c>
      <c r="P114" s="168">
        <f>('Pivot Table for Data Exchange'!$E$400)*100</f>
        <v>0</v>
      </c>
      <c r="Q114" s="173">
        <f t="shared" si="14"/>
        <v>0</v>
      </c>
      <c r="R114" s="173">
        <f t="shared" si="15"/>
        <v>0</v>
      </c>
      <c r="S114" s="222"/>
      <c r="T114" s="226"/>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row>
    <row r="115" spans="1:41" ht="15.75" customHeight="1">
      <c r="A115" s="139" t="s">
        <v>629</v>
      </c>
      <c r="B115" s="168">
        <f>('Pivot Table for Data Exchange'!$E$403)*100</f>
        <v>69.13703625780208</v>
      </c>
      <c r="C115" s="168">
        <f>('Pivot Table for Data Exchange'!$E$406)*100</f>
        <v>1.1544365741714784</v>
      </c>
      <c r="D115" s="169">
        <f>SUM(E115:G115)</f>
        <v>29.708527168026432</v>
      </c>
      <c r="E115" s="168">
        <f>('Pivot Table for Data Exchange'!$E$409)*100</f>
        <v>29.708527168026432</v>
      </c>
      <c r="F115" s="180">
        <f>('Pivot Table for Data Exchange'!$E$412)*100</f>
        <v>0</v>
      </c>
      <c r="G115" s="176">
        <f>('Pivot Table for Data Exchange'!$E$415)*100</f>
        <v>0</v>
      </c>
      <c r="H115" s="168">
        <f>('Pivot Table for Data Exchange'!$E$418)*100</f>
        <v>0</v>
      </c>
      <c r="I115" s="174" t="s">
        <v>629</v>
      </c>
      <c r="J115" s="168">
        <f>('Pivot Table for Data Exchange'!$E$421)*100</f>
        <v>31.419108917078049</v>
      </c>
      <c r="K115" s="168">
        <f>('Pivot Table for Data Exchange'!$E$424)*100</f>
        <v>3.4660167885188193</v>
      </c>
      <c r="L115" s="169">
        <f>SUM(M115:O115)</f>
        <v>65.114874294403137</v>
      </c>
      <c r="M115" s="168">
        <f>('Pivot Table for Data Exchange'!$E$427)*100</f>
        <v>65.114874294403137</v>
      </c>
      <c r="N115" s="168">
        <f>('Pivot Table for Data Exchange'!$E$430)*100</f>
        <v>0</v>
      </c>
      <c r="O115" s="175">
        <f>('Pivot Table for Data Exchange'!$E$433)*100</f>
        <v>0</v>
      </c>
      <c r="P115" s="168">
        <f>('Pivot Table for Data Exchange'!$E$436)*100</f>
        <v>0</v>
      </c>
      <c r="Q115" s="173">
        <f t="shared" si="14"/>
        <v>100</v>
      </c>
      <c r="R115" s="173">
        <f t="shared" si="15"/>
        <v>100</v>
      </c>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row>
    <row r="116" spans="1:41" ht="11.25" customHeight="1">
      <c r="B116" s="168"/>
      <c r="C116" s="168"/>
      <c r="D116" s="169"/>
      <c r="E116" s="168"/>
      <c r="F116" s="168"/>
      <c r="G116" s="176"/>
      <c r="H116" s="168"/>
      <c r="I116" s="174"/>
      <c r="J116" s="168"/>
      <c r="K116" s="168"/>
      <c r="L116" s="169"/>
      <c r="M116" s="168"/>
      <c r="N116" s="168"/>
      <c r="O116" s="176"/>
      <c r="P116" s="168"/>
      <c r="Q116" s="173">
        <f t="shared" si="14"/>
        <v>0</v>
      </c>
      <c r="R116" s="173">
        <f t="shared" si="15"/>
        <v>0</v>
      </c>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row>
    <row r="117" spans="1:41" ht="15.75" customHeight="1">
      <c r="A117" s="139" t="s">
        <v>630</v>
      </c>
      <c r="B117" s="168">
        <f>('Pivot Table for Data Exchange'!$E$439)*100</f>
        <v>39.3609366910486</v>
      </c>
      <c r="C117" s="168">
        <f>('Pivot Table for Data Exchange'!$E$442)*100</f>
        <v>1.6504931699611041</v>
      </c>
      <c r="D117" s="169">
        <f>SUM(E117:G117)</f>
        <v>58.326540907220327</v>
      </c>
      <c r="E117" s="168">
        <f>('Pivot Table for Data Exchange'!$E$445)*100</f>
        <v>42.279998406988014</v>
      </c>
      <c r="F117" s="168">
        <f>('Pivot Table for Data Exchange'!$E$448)*100</f>
        <v>0</v>
      </c>
      <c r="G117" s="176">
        <f>('Pivot Table for Data Exchange'!$E$451)*100</f>
        <v>16.046542500232313</v>
      </c>
      <c r="H117" s="168">
        <f>('Pivot Table for Data Exchange'!$E$454)*100</f>
        <v>0.66202923176996908</v>
      </c>
      <c r="I117" s="174" t="s">
        <v>630</v>
      </c>
      <c r="J117" s="168">
        <f>('Pivot Table for Data Exchange'!$E$457)*100</f>
        <v>20.328498616131522</v>
      </c>
      <c r="K117" s="168">
        <f>('Pivot Table for Data Exchange'!$E$460)*100</f>
        <v>8.16709266625327E-2</v>
      </c>
      <c r="L117" s="169">
        <f>SUM(M117:O117)</f>
        <v>76.98241050227621</v>
      </c>
      <c r="M117" s="168">
        <f>('Pivot Table for Data Exchange'!$E$463)*100</f>
        <v>68.850103601082907</v>
      </c>
      <c r="N117" s="168">
        <f>('Pivot Table for Data Exchange'!$E$466)*100</f>
        <v>0</v>
      </c>
      <c r="O117" s="176">
        <f>('Pivot Table for Data Exchange'!$E$469)*100</f>
        <v>8.1323069011933029</v>
      </c>
      <c r="P117" s="168">
        <f>('Pivot Table for Data Exchange'!$E$472)*100</f>
        <v>2.6074199549297479</v>
      </c>
      <c r="Q117" s="173">
        <f t="shared" si="14"/>
        <v>100</v>
      </c>
      <c r="R117" s="173">
        <f t="shared" si="15"/>
        <v>100.00000000000001</v>
      </c>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row>
    <row r="118" spans="1:41" ht="15.75" customHeight="1">
      <c r="A118" s="139" t="s">
        <v>631</v>
      </c>
      <c r="B118" s="168">
        <f>('Pivot Table for Data Exchange'!$E$475)*100</f>
        <v>41.172952328925284</v>
      </c>
      <c r="C118" s="168">
        <f>('Pivot Table for Data Exchange'!$E$478)*100</f>
        <v>1.3141823796115761</v>
      </c>
      <c r="D118" s="169">
        <f>SUM(E118:G118)</f>
        <v>57.512865291463143</v>
      </c>
      <c r="E118" s="168">
        <f>('Pivot Table for Data Exchange'!$E$481)*100</f>
        <v>55.305425360969132</v>
      </c>
      <c r="F118" s="168">
        <f>('Pivot Table for Data Exchange'!$E$484)*100</f>
        <v>0.52746968556675566</v>
      </c>
      <c r="G118" s="176">
        <f>('Pivot Table for Data Exchange'!$E$487)*100</f>
        <v>1.6799702449272542</v>
      </c>
      <c r="H118" s="168">
        <f>('Pivot Table for Data Exchange'!$E$490)*100</f>
        <v>0</v>
      </c>
      <c r="I118" s="174" t="s">
        <v>631</v>
      </c>
      <c r="J118" s="168">
        <f>('Pivot Table for Data Exchange'!$E$493)*100</f>
        <v>18.87238594796052</v>
      </c>
      <c r="K118" s="168">
        <f>('Pivot Table for Data Exchange'!$E$496)*100</f>
        <v>1.4061701980813031</v>
      </c>
      <c r="L118" s="169">
        <f>SUM(M118:O118)</f>
        <v>79.721443853958178</v>
      </c>
      <c r="M118" s="168">
        <f>('Pivot Table for Data Exchange'!$E$499)*100</f>
        <v>77.526813444682176</v>
      </c>
      <c r="N118" s="168">
        <f>('Pivot Table for Data Exchange'!$E$502)*100</f>
        <v>0.42901511491476291</v>
      </c>
      <c r="O118" s="176">
        <f>('Pivot Table for Data Exchange'!$E$505)*100</f>
        <v>1.7656152943612395</v>
      </c>
      <c r="P118" s="168">
        <f>('Pivot Table for Data Exchange'!$E$508)*100</f>
        <v>0</v>
      </c>
      <c r="Q118" s="173">
        <f t="shared" si="14"/>
        <v>100</v>
      </c>
      <c r="R118" s="173">
        <f t="shared" si="15"/>
        <v>100</v>
      </c>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row>
    <row r="119" spans="1:41" ht="15.75" customHeight="1">
      <c r="A119" s="139" t="s">
        <v>632</v>
      </c>
      <c r="B119" s="168">
        <f>('Pivot Table for Data Exchange'!$E$511)*100</f>
        <v>56.871040753411293</v>
      </c>
      <c r="C119" s="168">
        <f>('Pivot Table for Data Exchange'!$E$514)*100</f>
        <v>2.5093114108684436</v>
      </c>
      <c r="D119" s="169">
        <f>SUM(E119:G119)</f>
        <v>40.619647835720258</v>
      </c>
      <c r="E119" s="168">
        <f>('Pivot Table for Data Exchange'!$E$517)*100</f>
        <v>40.105406471809943</v>
      </c>
      <c r="F119" s="168">
        <f>('Pivot Table for Data Exchange'!$E$520)*100</f>
        <v>0.51424136391031561</v>
      </c>
      <c r="G119" s="176">
        <f>('Pivot Table for Data Exchange'!$E$523)*100</f>
        <v>0</v>
      </c>
      <c r="H119" s="168">
        <f>('Pivot Table for Data Exchange'!$E$526)*100</f>
        <v>0</v>
      </c>
      <c r="I119" s="174" t="s">
        <v>632</v>
      </c>
      <c r="J119" s="168">
        <f>('Pivot Table for Data Exchange'!$E$529)*100</f>
        <v>37.490430534796396</v>
      </c>
      <c r="K119" s="168">
        <f>('Pivot Table for Data Exchange'!$E$532)*100</f>
        <v>12.426330307559574</v>
      </c>
      <c r="L119" s="169">
        <f>SUM(M119:O119)</f>
        <v>50.08323915764403</v>
      </c>
      <c r="M119" s="168">
        <f>('Pivot Table for Data Exchange'!$E$535)*100</f>
        <v>49.746637016514164</v>
      </c>
      <c r="N119" s="168">
        <f>('Pivot Table for Data Exchange'!$E$538)*100</f>
        <v>0.33660214112986525</v>
      </c>
      <c r="O119" s="176">
        <f>('Pivot Table for Data Exchange'!$E$541)*100</f>
        <v>0</v>
      </c>
      <c r="P119" s="168">
        <f>('Pivot Table for Data Exchange'!$E$544)*100</f>
        <v>0</v>
      </c>
      <c r="Q119" s="173">
        <f t="shared" si="14"/>
        <v>100</v>
      </c>
      <c r="R119" s="173">
        <f t="shared" si="15"/>
        <v>100</v>
      </c>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row>
    <row r="120" spans="1:41" ht="15.75" customHeight="1">
      <c r="A120" s="145" t="s">
        <v>633</v>
      </c>
      <c r="B120" s="181">
        <f>('Pivot Table for Data Exchange'!$E$547)*100</f>
        <v>45.206670952615056</v>
      </c>
      <c r="C120" s="181">
        <f>('Pivot Table for Data Exchange'!$E$550)*100</f>
        <v>6.5780903998957934</v>
      </c>
      <c r="D120" s="182">
        <f>SUM(E120:G120)</f>
        <v>48.215238647489144</v>
      </c>
      <c r="E120" s="181">
        <f>('Pivot Table for Data Exchange'!$E$553)*100</f>
        <v>46.848357263211852</v>
      </c>
      <c r="F120" s="181">
        <f>('Pivot Table for Data Exchange'!$E$556)*100</f>
        <v>1.3668813842772924</v>
      </c>
      <c r="G120" s="183">
        <f>('Pivot Table for Data Exchange'!$E$559)*100</f>
        <v>0</v>
      </c>
      <c r="H120" s="181">
        <f>('Pivot Table for Data Exchange'!$E$562)*100</f>
        <v>0</v>
      </c>
      <c r="I120" s="184" t="s">
        <v>633</v>
      </c>
      <c r="J120" s="181">
        <f>('Pivot Table for Data Exchange'!$E$565)*100</f>
        <v>29.455602279553833</v>
      </c>
      <c r="K120" s="181">
        <f>('Pivot Table for Data Exchange'!$E$568)*100</f>
        <v>9.3000600737120678</v>
      </c>
      <c r="L120" s="182">
        <f>SUM(M120:O120)</f>
        <v>61.244337646734095</v>
      </c>
      <c r="M120" s="181">
        <f>('Pivot Table for Data Exchange'!$E$571)*100</f>
        <v>59.977918851780288</v>
      </c>
      <c r="N120" s="181">
        <f>('Pivot Table for Data Exchange'!$E$574)*100</f>
        <v>1.2664187949538082</v>
      </c>
      <c r="O120" s="183">
        <f>('Pivot Table for Data Exchange'!$E$577)*100</f>
        <v>0</v>
      </c>
      <c r="P120" s="181">
        <f>('Pivot Table for Data Exchange'!$E$580)*100</f>
        <v>0</v>
      </c>
      <c r="Q120" s="173">
        <f t="shared" si="14"/>
        <v>100</v>
      </c>
      <c r="R120" s="173">
        <f t="shared" si="15"/>
        <v>100</v>
      </c>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row>
    <row r="121" spans="1:41" s="212" customFormat="1" ht="13.5" customHeight="1">
      <c r="A121" s="187" t="s">
        <v>658</v>
      </c>
      <c r="B121" s="188"/>
      <c r="C121" s="188"/>
      <c r="D121" s="189"/>
      <c r="E121" s="188"/>
      <c r="F121" s="189"/>
      <c r="G121" s="189"/>
      <c r="H121" s="188"/>
      <c r="I121" s="187" t="s">
        <v>658</v>
      </c>
      <c r="J121" s="188"/>
      <c r="K121" s="188"/>
      <c r="L121" s="189"/>
      <c r="M121" s="188"/>
      <c r="N121" s="189"/>
      <c r="O121" s="189"/>
      <c r="P121" s="188"/>
      <c r="Q121" s="173">
        <f t="shared" si="14"/>
        <v>0</v>
      </c>
      <c r="R121" s="173">
        <f t="shared" si="15"/>
        <v>0</v>
      </c>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row>
    <row r="122" spans="1:41" s="212" customFormat="1" ht="26.25" customHeight="1">
      <c r="A122" s="492" t="s">
        <v>664</v>
      </c>
      <c r="B122" s="493"/>
      <c r="C122" s="493"/>
      <c r="D122" s="493"/>
      <c r="E122" s="493"/>
      <c r="F122" s="493"/>
      <c r="G122" s="493"/>
      <c r="H122" s="493"/>
      <c r="I122" s="492" t="s">
        <v>664</v>
      </c>
      <c r="J122" s="493"/>
      <c r="K122" s="493"/>
      <c r="L122" s="493"/>
      <c r="M122" s="493"/>
      <c r="N122" s="493"/>
      <c r="O122" s="493"/>
      <c r="P122" s="493"/>
      <c r="Q122" s="173">
        <f t="shared" si="14"/>
        <v>0</v>
      </c>
      <c r="R122" s="173">
        <f t="shared" si="15"/>
        <v>0</v>
      </c>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row>
    <row r="123" spans="1:41" s="212" customFormat="1" ht="13.5" customHeight="1">
      <c r="A123" s="197"/>
      <c r="B123" s="198"/>
      <c r="C123" s="186"/>
      <c r="D123" s="186"/>
      <c r="E123" s="186"/>
      <c r="F123" s="186"/>
      <c r="G123" s="186"/>
      <c r="H123" s="186"/>
      <c r="I123" s="197"/>
      <c r="J123" s="186"/>
      <c r="K123" s="186"/>
      <c r="L123" s="186"/>
      <c r="M123" s="186"/>
      <c r="N123" s="186"/>
      <c r="O123" s="186"/>
      <c r="P123" s="199"/>
      <c r="Q123" s="173">
        <f t="shared" si="14"/>
        <v>0</v>
      </c>
      <c r="R123" s="173">
        <f t="shared" si="15"/>
        <v>0</v>
      </c>
    </row>
    <row r="124" spans="1:41" s="212" customFormat="1" ht="13.5" customHeight="1">
      <c r="A124" s="186"/>
      <c r="B124" s="186"/>
      <c r="C124" s="186"/>
      <c r="D124" s="186"/>
      <c r="E124" s="186"/>
      <c r="F124" s="186"/>
      <c r="G124" s="186"/>
      <c r="H124" s="192" t="s">
        <v>923</v>
      </c>
      <c r="I124" s="197"/>
      <c r="J124" s="186"/>
      <c r="K124" s="186"/>
      <c r="L124" s="186"/>
      <c r="M124" s="186"/>
      <c r="N124" s="186"/>
      <c r="O124" s="186"/>
      <c r="P124" s="192" t="s">
        <v>923</v>
      </c>
      <c r="Q124" s="173">
        <f t="shared" si="14"/>
        <v>0</v>
      </c>
      <c r="R124" s="173">
        <f t="shared" si="15"/>
        <v>0</v>
      </c>
    </row>
    <row r="125" spans="1:41" ht="18">
      <c r="A125" s="134" t="s">
        <v>665</v>
      </c>
      <c r="B125" s="135"/>
      <c r="C125" s="135"/>
      <c r="D125" s="135"/>
      <c r="E125" s="135"/>
      <c r="F125" s="135"/>
      <c r="G125" s="135"/>
      <c r="H125" s="135"/>
      <c r="I125" s="134" t="s">
        <v>666</v>
      </c>
      <c r="J125" s="136"/>
      <c r="K125" s="136"/>
      <c r="L125" s="135"/>
      <c r="M125" s="136"/>
      <c r="N125" s="136"/>
      <c r="O125" s="136"/>
      <c r="P125" s="136"/>
      <c r="Q125" s="173">
        <f t="shared" si="14"/>
        <v>0</v>
      </c>
      <c r="R125" s="173">
        <f t="shared" si="15"/>
        <v>0</v>
      </c>
    </row>
    <row r="126" spans="1:41" ht="13">
      <c r="A126" s="140"/>
      <c r="B126" s="136"/>
      <c r="C126" s="136"/>
      <c r="D126" s="136"/>
      <c r="E126" s="136"/>
      <c r="F126" s="136"/>
      <c r="G126" s="136"/>
      <c r="H126" s="136"/>
      <c r="I126" s="140"/>
      <c r="J126" s="136"/>
      <c r="K126" s="136"/>
      <c r="L126" s="136"/>
      <c r="M126" s="136"/>
      <c r="N126" s="136"/>
      <c r="O126" s="136"/>
      <c r="P126" s="136"/>
      <c r="Q126" s="173">
        <f t="shared" si="14"/>
        <v>0</v>
      </c>
      <c r="R126" s="173">
        <f t="shared" si="15"/>
        <v>0</v>
      </c>
    </row>
    <row r="127" spans="1:41" ht="15.5">
      <c r="A127" s="142" t="s">
        <v>639</v>
      </c>
      <c r="B127" s="136"/>
      <c r="C127" s="136"/>
      <c r="D127" s="136"/>
      <c r="E127" s="136"/>
      <c r="F127" s="136"/>
      <c r="G127" s="136"/>
      <c r="H127" s="136"/>
      <c r="I127" s="142" t="s">
        <v>640</v>
      </c>
      <c r="J127" s="136"/>
      <c r="K127" s="136"/>
      <c r="L127" s="136"/>
      <c r="M127" s="136"/>
      <c r="N127" s="136"/>
      <c r="O127" s="136"/>
      <c r="P127" s="136"/>
      <c r="Q127" s="173">
        <f t="shared" si="14"/>
        <v>0</v>
      </c>
      <c r="R127" s="173">
        <f t="shared" si="15"/>
        <v>0</v>
      </c>
    </row>
    <row r="128" spans="1:41" ht="15.5">
      <c r="A128" s="142" t="s">
        <v>885</v>
      </c>
      <c r="B128" s="136"/>
      <c r="C128" s="136"/>
      <c r="D128" s="136"/>
      <c r="E128" s="136"/>
      <c r="F128" s="136"/>
      <c r="G128" s="136"/>
      <c r="H128" s="136"/>
      <c r="I128" s="142" t="s">
        <v>885</v>
      </c>
      <c r="J128" s="136"/>
      <c r="K128" s="136"/>
      <c r="L128" s="136"/>
      <c r="M128" s="136"/>
      <c r="N128" s="136"/>
      <c r="O128" s="136"/>
      <c r="P128" s="136"/>
      <c r="Q128" s="173">
        <f t="shared" si="14"/>
        <v>0</v>
      </c>
      <c r="R128" s="173">
        <f t="shared" si="15"/>
        <v>0</v>
      </c>
    </row>
    <row r="129" spans="1:41">
      <c r="A129" s="145"/>
      <c r="B129" s="146"/>
      <c r="C129" s="146"/>
      <c r="D129" s="146"/>
      <c r="E129" s="146"/>
      <c r="F129" s="146"/>
      <c r="G129" s="146"/>
      <c r="H129" s="146"/>
      <c r="I129" s="147"/>
      <c r="L129" s="148"/>
      <c r="P129" s="145"/>
      <c r="Q129" s="173">
        <f t="shared" si="14"/>
        <v>0</v>
      </c>
      <c r="R129" s="173">
        <f t="shared" si="15"/>
        <v>0</v>
      </c>
    </row>
    <row r="130" spans="1:41" s="166" customFormat="1">
      <c r="A130" s="150"/>
      <c r="B130" s="151" t="s">
        <v>641</v>
      </c>
      <c r="C130" s="151"/>
      <c r="D130" s="151"/>
      <c r="E130" s="151"/>
      <c r="F130" s="151"/>
      <c r="G130" s="151"/>
      <c r="H130" s="152"/>
      <c r="I130" s="150"/>
      <c r="J130" s="151" t="s">
        <v>641</v>
      </c>
      <c r="K130" s="151"/>
      <c r="L130" s="151"/>
      <c r="M130" s="151"/>
      <c r="N130" s="151"/>
      <c r="O130" s="151"/>
      <c r="P130" s="152"/>
      <c r="Q130" s="173">
        <f t="shared" si="14"/>
        <v>0</v>
      </c>
      <c r="R130" s="173">
        <f t="shared" si="15"/>
        <v>0</v>
      </c>
    </row>
    <row r="131" spans="1:41" s="166" customFormat="1">
      <c r="A131" s="150"/>
      <c r="B131" s="151" t="s">
        <v>642</v>
      </c>
      <c r="C131" s="151"/>
      <c r="D131" s="487" t="s">
        <v>643</v>
      </c>
      <c r="E131" s="485"/>
      <c r="F131" s="485"/>
      <c r="G131" s="485"/>
      <c r="H131" s="158" t="s">
        <v>533</v>
      </c>
      <c r="I131" s="150"/>
      <c r="J131" s="151" t="s">
        <v>642</v>
      </c>
      <c r="K131" s="151"/>
      <c r="L131" s="487" t="s">
        <v>643</v>
      </c>
      <c r="M131" s="485"/>
      <c r="N131" s="485"/>
      <c r="O131" s="485"/>
      <c r="P131" s="158" t="s">
        <v>533</v>
      </c>
      <c r="Q131" s="173">
        <f t="shared" si="14"/>
        <v>0</v>
      </c>
      <c r="R131" s="173">
        <f t="shared" si="15"/>
        <v>0</v>
      </c>
    </row>
    <row r="132" spans="1:41" s="166" customFormat="1" ht="40.5" customHeight="1">
      <c r="A132" s="150"/>
      <c r="B132" s="159" t="s">
        <v>644</v>
      </c>
      <c r="C132" s="160" t="s">
        <v>645</v>
      </c>
      <c r="D132" s="161" t="s">
        <v>646</v>
      </c>
      <c r="E132" s="162" t="s">
        <v>8</v>
      </c>
      <c r="F132" s="159" t="s">
        <v>647</v>
      </c>
      <c r="G132" s="163" t="s">
        <v>656</v>
      </c>
      <c r="H132" s="164" t="s">
        <v>649</v>
      </c>
      <c r="I132" s="150"/>
      <c r="J132" s="159" t="s">
        <v>644</v>
      </c>
      <c r="K132" s="160" t="s">
        <v>645</v>
      </c>
      <c r="L132" s="161" t="s">
        <v>646</v>
      </c>
      <c r="M132" s="162" t="s">
        <v>8</v>
      </c>
      <c r="N132" s="159" t="s">
        <v>647</v>
      </c>
      <c r="O132" s="163" t="s">
        <v>656</v>
      </c>
      <c r="P132" s="164" t="s">
        <v>649</v>
      </c>
      <c r="Q132" s="173">
        <f t="shared" si="14"/>
        <v>0</v>
      </c>
      <c r="R132" s="173">
        <f t="shared" si="15"/>
        <v>0</v>
      </c>
      <c r="T132" s="165"/>
    </row>
    <row r="133" spans="1:41" ht="15.75" customHeight="1">
      <c r="A133" s="194" t="s">
        <v>618</v>
      </c>
      <c r="B133" s="221">
        <f>('Pivot Table for Data Exchange'!$F$7)*100</f>
        <v>50.551167483424621</v>
      </c>
      <c r="C133" s="168">
        <f>('Pivot Table for Data Exchange'!$F$10)*100</f>
        <v>0.1210723551455751</v>
      </c>
      <c r="D133" s="169">
        <f>SUM(E133:G133)</f>
        <v>49.327760161429808</v>
      </c>
      <c r="E133" s="168">
        <f>('Pivot Table for Data Exchange'!$F$13)*100</f>
        <v>49.327760161429808</v>
      </c>
      <c r="F133" s="168">
        <f>('Pivot Table for Data Exchange'!$F$16)*100</f>
        <v>0</v>
      </c>
      <c r="G133" s="172">
        <f>('Pivot Table for Data Exchange'!$F$19)*100</f>
        <v>0</v>
      </c>
      <c r="H133" s="168">
        <f>('Pivot Table for Data Exchange'!$F$22)*100</f>
        <v>0</v>
      </c>
      <c r="I133" s="171" t="s">
        <v>618</v>
      </c>
      <c r="J133" s="168">
        <f>('Pivot Table for Data Exchange'!$F$25)*100</f>
        <v>8.4188348522060021</v>
      </c>
      <c r="K133" s="168">
        <f>('Pivot Table for Data Exchange'!$F$28)*100</f>
        <v>0</v>
      </c>
      <c r="L133" s="169">
        <f>SUM(M133:O133)</f>
        <v>91.581165147793996</v>
      </c>
      <c r="M133" s="168">
        <f>('Pivot Table for Data Exchange'!$F$31)*100</f>
        <v>91.581165147793996</v>
      </c>
      <c r="N133" s="168">
        <f>('Pivot Table for Data Exchange'!$F$34)*100</f>
        <v>0</v>
      </c>
      <c r="O133" s="172">
        <f>('Pivot Table for Data Exchange'!$F$37)*100</f>
        <v>0</v>
      </c>
      <c r="P133" s="168">
        <f>('Pivot Table for Data Exchange'!$F$40)*100</f>
        <v>0</v>
      </c>
      <c r="Q133" s="173">
        <f t="shared" si="14"/>
        <v>100</v>
      </c>
      <c r="R133" s="173">
        <f t="shared" si="15"/>
        <v>100</v>
      </c>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row>
    <row r="134" spans="1:41" ht="15.75" customHeight="1">
      <c r="A134" s="139" t="s">
        <v>619</v>
      </c>
      <c r="B134" s="168">
        <f>('Pivot Table for Data Exchange'!$F$43)*100</f>
        <v>62.205807036205329</v>
      </c>
      <c r="C134" s="168">
        <f>('Pivot Table for Data Exchange'!$F$46)*100</f>
        <v>13.385336642634835</v>
      </c>
      <c r="D134" s="169">
        <f t="shared" ref="D134:D136" si="20">SUM(E134:G134)</f>
        <v>24.408856321159831</v>
      </c>
      <c r="E134" s="168">
        <f>('Pivot Table for Data Exchange'!$F$49)*100</f>
        <v>24.408856321159831</v>
      </c>
      <c r="F134" s="180">
        <f>('Pivot Table for Data Exchange'!$F$52)*100</f>
        <v>0</v>
      </c>
      <c r="G134" s="176">
        <f>('Pivot Table for Data Exchange'!$F$55)*100</f>
        <v>0</v>
      </c>
      <c r="H134" s="168">
        <f>('Pivot Table for Data Exchange'!$F$58)*100</f>
        <v>0</v>
      </c>
      <c r="I134" s="174" t="s">
        <v>619</v>
      </c>
      <c r="J134" s="168">
        <f>('Pivot Table for Data Exchange'!$F$61)*100</f>
        <v>10.043750590160839</v>
      </c>
      <c r="K134" s="168">
        <f>('Pivot Table for Data Exchange'!$F$64)*100</f>
        <v>0</v>
      </c>
      <c r="L134" s="169">
        <f t="shared" ref="L134:L136" si="21">SUM(M134:O134)</f>
        <v>89.95624940983916</v>
      </c>
      <c r="M134" s="168">
        <f>('Pivot Table for Data Exchange'!$F$67)*100</f>
        <v>89.95624940983916</v>
      </c>
      <c r="N134" s="168">
        <f>('Pivot Table for Data Exchange'!$F$70)*100</f>
        <v>0</v>
      </c>
      <c r="O134" s="176">
        <f>('Pivot Table for Data Exchange'!$F$73)*100</f>
        <v>0</v>
      </c>
      <c r="P134" s="168">
        <f>('Pivot Table for Data Exchange'!$F$76)*100</f>
        <v>0</v>
      </c>
      <c r="Q134" s="173">
        <f t="shared" si="14"/>
        <v>100</v>
      </c>
      <c r="R134" s="173">
        <f t="shared" si="15"/>
        <v>100</v>
      </c>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row>
    <row r="135" spans="1:41" ht="15.75" customHeight="1">
      <c r="A135" s="139" t="s">
        <v>620</v>
      </c>
      <c r="B135" s="168">
        <f>('Pivot Table for Data Exchange'!$F$79)*100</f>
        <v>0</v>
      </c>
      <c r="C135" s="168">
        <f>('Pivot Table for Data Exchange'!$F$82)*100</f>
        <v>0</v>
      </c>
      <c r="D135" s="169">
        <f t="shared" si="20"/>
        <v>0</v>
      </c>
      <c r="E135" s="168">
        <f>('Pivot Table for Data Exchange'!$F$85)*100</f>
        <v>0</v>
      </c>
      <c r="F135" s="168">
        <f>('Pivot Table for Data Exchange'!$F$88)*100</f>
        <v>0</v>
      </c>
      <c r="G135" s="176">
        <f>('Pivot Table for Data Exchange'!$F$91)*100</f>
        <v>0</v>
      </c>
      <c r="H135" s="168">
        <f>('Pivot Table for Data Exchange'!$F$94)*100</f>
        <v>0</v>
      </c>
      <c r="I135" s="174" t="s">
        <v>620</v>
      </c>
      <c r="J135" s="168">
        <f>('Pivot Table for Data Exchange'!$F$97)*100</f>
        <v>0</v>
      </c>
      <c r="K135" s="168">
        <f>('Pivot Table for Data Exchange'!$F$100)*100</f>
        <v>0</v>
      </c>
      <c r="L135" s="169">
        <f t="shared" si="21"/>
        <v>0</v>
      </c>
      <c r="M135" s="168">
        <f>('Pivot Table for Data Exchange'!$F$103)*100</f>
        <v>0</v>
      </c>
      <c r="N135" s="168">
        <f>('Pivot Table for Data Exchange'!$F$106)*100</f>
        <v>0</v>
      </c>
      <c r="O135" s="176">
        <f>('Pivot Table for Data Exchange'!$F$109)*100</f>
        <v>0</v>
      </c>
      <c r="P135" s="168">
        <f>('Pivot Table for Data Exchange'!$F$112)*100</f>
        <v>0</v>
      </c>
      <c r="Q135" s="173">
        <f t="shared" si="14"/>
        <v>0</v>
      </c>
      <c r="R135" s="173">
        <f t="shared" si="15"/>
        <v>0</v>
      </c>
      <c r="S135" s="222"/>
      <c r="T135" s="226"/>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row>
    <row r="136" spans="1:41" ht="15.75" customHeight="1">
      <c r="A136" s="139" t="s">
        <v>657</v>
      </c>
      <c r="B136" s="168">
        <f>('Pivot Table for Data Exchange'!$F$115)*100</f>
        <v>0</v>
      </c>
      <c r="C136" s="168">
        <f>('Pivot Table for Data Exchange'!$F$118)*100</f>
        <v>0</v>
      </c>
      <c r="D136" s="169">
        <f t="shared" si="20"/>
        <v>0</v>
      </c>
      <c r="E136" s="168">
        <f>('Pivot Table for Data Exchange'!$F$121)*100</f>
        <v>0</v>
      </c>
      <c r="F136" s="177">
        <f>('Pivot Table for Data Exchange'!$F$124)*100</f>
        <v>0</v>
      </c>
      <c r="G136" s="179">
        <f>('Pivot Table for Data Exchange'!$F$127)*100</f>
        <v>0</v>
      </c>
      <c r="H136" s="168">
        <f>('Pivot Table for Data Exchange'!$F$130)*100</f>
        <v>0</v>
      </c>
      <c r="I136" s="174" t="s">
        <v>657</v>
      </c>
      <c r="J136" s="168">
        <f>('Pivot Table for Data Exchange'!$F$133)*100</f>
        <v>0</v>
      </c>
      <c r="K136" s="168">
        <f>('Pivot Table for Data Exchange'!$F$136)*100</f>
        <v>0</v>
      </c>
      <c r="L136" s="169">
        <f t="shared" si="21"/>
        <v>0</v>
      </c>
      <c r="M136" s="168">
        <f>('Pivot Table for Data Exchange'!$F$139)*100</f>
        <v>0</v>
      </c>
      <c r="N136" s="168">
        <f>('Pivot Table for Data Exchange'!$F$142)*100</f>
        <v>0</v>
      </c>
      <c r="O136" s="176">
        <f>('Pivot Table for Data Exchange'!$F$145)*100</f>
        <v>0</v>
      </c>
      <c r="P136" s="168">
        <f>('Pivot Table for Data Exchange'!$F$148)*100</f>
        <v>0</v>
      </c>
      <c r="Q136" s="173">
        <f t="shared" si="14"/>
        <v>0</v>
      </c>
      <c r="R136" s="173">
        <f t="shared" si="15"/>
        <v>0</v>
      </c>
      <c r="S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row>
    <row r="137" spans="1:41" ht="15.75" customHeight="1">
      <c r="B137" s="168"/>
      <c r="C137" s="168"/>
      <c r="D137" s="169"/>
      <c r="E137" s="168"/>
      <c r="F137" s="168"/>
      <c r="G137" s="176"/>
      <c r="H137" s="168"/>
      <c r="I137" s="174"/>
      <c r="J137" s="168"/>
      <c r="K137" s="168"/>
      <c r="L137" s="169"/>
      <c r="M137" s="168"/>
      <c r="N137" s="168"/>
      <c r="O137" s="176"/>
      <c r="P137" s="168"/>
      <c r="Q137" s="173">
        <f t="shared" si="14"/>
        <v>0</v>
      </c>
      <c r="R137" s="173">
        <f t="shared" si="15"/>
        <v>0</v>
      </c>
      <c r="S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row>
    <row r="138" spans="1:41" ht="15.75" customHeight="1">
      <c r="A138" s="139" t="s">
        <v>622</v>
      </c>
      <c r="B138" s="168">
        <f>('Pivot Table for Data Exchange'!$F$151)*100</f>
        <v>59.381144548903329</v>
      </c>
      <c r="C138" s="168">
        <f>('Pivot Table for Data Exchange'!$F$154)*100</f>
        <v>1.2929213303652876</v>
      </c>
      <c r="D138" s="169">
        <f t="shared" ref="D138:D139" si="22">SUM(E138:G138)</f>
        <v>39.325934120731382</v>
      </c>
      <c r="E138" s="168">
        <f>('Pivot Table for Data Exchange'!$F$157)*100</f>
        <v>39.099971484067659</v>
      </c>
      <c r="F138" s="180">
        <f>('Pivot Table for Data Exchange'!$F$160)*100</f>
        <v>0.15721087308021336</v>
      </c>
      <c r="G138" s="176">
        <f>('Pivot Table for Data Exchange'!$F$163)*100</f>
        <v>6.8751763583512121E-2</v>
      </c>
      <c r="H138" s="177">
        <f>('Pivot Table for Data Exchange'!$F$166)*100</f>
        <v>0</v>
      </c>
      <c r="I138" s="174" t="s">
        <v>622</v>
      </c>
      <c r="J138" s="168">
        <f>('Pivot Table for Data Exchange'!$F$169)*100</f>
        <v>56.307083051947629</v>
      </c>
      <c r="K138" s="168">
        <f>('Pivot Table for Data Exchange'!$F$172)*100</f>
        <v>4.309626997292141</v>
      </c>
      <c r="L138" s="169">
        <f t="shared" ref="L138:L139" si="23">SUM(M138:O138)</f>
        <v>39.383289950760229</v>
      </c>
      <c r="M138" s="168">
        <f>('Pivot Table for Data Exchange'!$F$175)*100</f>
        <v>39.378372530635524</v>
      </c>
      <c r="N138" s="177">
        <f>('Pivot Table for Data Exchange'!$F$178)*100</f>
        <v>4.917420124705774E-3</v>
      </c>
      <c r="O138" s="176">
        <f>('Pivot Table for Data Exchange'!$F$181)*100</f>
        <v>0</v>
      </c>
      <c r="P138" s="168">
        <f>('Pivot Table for Data Exchange'!$F$184)*100</f>
        <v>0</v>
      </c>
      <c r="Q138" s="173">
        <f t="shared" si="14"/>
        <v>100</v>
      </c>
      <c r="R138" s="173">
        <f t="shared" si="15"/>
        <v>100</v>
      </c>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row>
    <row r="139" spans="1:41" ht="15.75" customHeight="1">
      <c r="A139" s="139" t="s">
        <v>623</v>
      </c>
      <c r="B139" s="168">
        <f>('Pivot Table for Data Exchange'!$F$187)*100</f>
        <v>63.636188271604944</v>
      </c>
      <c r="C139" s="168">
        <f>('Pivot Table for Data Exchange'!$F$190)*100</f>
        <v>0.11574074074074073</v>
      </c>
      <c r="D139" s="169">
        <f t="shared" si="22"/>
        <v>36.248070987654316</v>
      </c>
      <c r="E139" s="168">
        <f>('Pivot Table for Data Exchange'!$F$193)*100</f>
        <v>36.248070987654316</v>
      </c>
      <c r="F139" s="168">
        <f>('Pivot Table for Data Exchange'!$F$196)*100</f>
        <v>0</v>
      </c>
      <c r="G139" s="179">
        <f>('Pivot Table for Data Exchange'!$F$199)*100</f>
        <v>0</v>
      </c>
      <c r="H139" s="168">
        <f>('Pivot Table for Data Exchange'!$F$202)*100</f>
        <v>0</v>
      </c>
      <c r="I139" s="174" t="s">
        <v>623</v>
      </c>
      <c r="J139" s="168">
        <f>('Pivot Table for Data Exchange'!$F$205)*100</f>
        <v>57.210031347962385</v>
      </c>
      <c r="K139" s="168">
        <f>('Pivot Table for Data Exchange'!$F$208)*100</f>
        <v>0</v>
      </c>
      <c r="L139" s="169">
        <f t="shared" si="23"/>
        <v>42.789968652037622</v>
      </c>
      <c r="M139" s="168">
        <f>('Pivot Table for Data Exchange'!$F$211)*100</f>
        <v>42.789968652037622</v>
      </c>
      <c r="N139" s="168">
        <f>('Pivot Table for Data Exchange'!$F$214)*100</f>
        <v>0</v>
      </c>
      <c r="O139" s="176">
        <f>('Pivot Table for Data Exchange'!$F$217)*100</f>
        <v>0</v>
      </c>
      <c r="P139" s="168">
        <f>('Pivot Table for Data Exchange'!$F$220)*100</f>
        <v>0</v>
      </c>
      <c r="Q139" s="173">
        <f t="shared" si="14"/>
        <v>100</v>
      </c>
      <c r="R139" s="173">
        <f t="shared" si="15"/>
        <v>100</v>
      </c>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row>
    <row r="140" spans="1:41" ht="15.75" customHeight="1">
      <c r="A140" s="139" t="s">
        <v>624</v>
      </c>
      <c r="B140" s="168">
        <f>('Pivot Table for Data Exchange'!$F$223)*100</f>
        <v>51.047624244143151</v>
      </c>
      <c r="C140" s="168">
        <f>('Pivot Table for Data Exchange'!$F$226)*100</f>
        <v>0</v>
      </c>
      <c r="D140" s="169">
        <f>SUM(E140:G140)</f>
        <v>48.952375755856849</v>
      </c>
      <c r="E140" s="168">
        <f>('Pivot Table for Data Exchange'!$F$229)*100</f>
        <v>48.952375755856849</v>
      </c>
      <c r="F140" s="168">
        <f>('Pivot Table for Data Exchange'!$F$232)*100</f>
        <v>0</v>
      </c>
      <c r="G140" s="176">
        <f>('Pivot Table for Data Exchange'!$F$235)*100</f>
        <v>0</v>
      </c>
      <c r="H140" s="168">
        <f>('Pivot Table for Data Exchange'!$F$238)*100</f>
        <v>0</v>
      </c>
      <c r="I140" s="174" t="s">
        <v>624</v>
      </c>
      <c r="J140" s="168">
        <f>('Pivot Table for Data Exchange'!$F$241)*100</f>
        <v>22.744955900219839</v>
      </c>
      <c r="K140" s="168">
        <f>('Pivot Table for Data Exchange'!$F$244)*100</f>
        <v>0</v>
      </c>
      <c r="L140" s="169">
        <f>SUM(M140:O140)</f>
        <v>77.25504409978015</v>
      </c>
      <c r="M140" s="168">
        <f>('Pivot Table for Data Exchange'!$F$247)*100</f>
        <v>77.25504409978015</v>
      </c>
      <c r="N140" s="168">
        <f>('Pivot Table for Data Exchange'!$F$250)*100</f>
        <v>0</v>
      </c>
      <c r="O140" s="176">
        <f>('Pivot Table for Data Exchange'!$F$253)*100</f>
        <v>0</v>
      </c>
      <c r="P140" s="168">
        <f>('Pivot Table for Data Exchange'!$F$256)*100</f>
        <v>0</v>
      </c>
      <c r="Q140" s="173">
        <f t="shared" si="14"/>
        <v>100</v>
      </c>
      <c r="R140" s="173">
        <f t="shared" si="15"/>
        <v>99.999999999999986</v>
      </c>
      <c r="S140" s="222"/>
      <c r="T140" s="226"/>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row>
    <row r="141" spans="1:41" ht="15.75" customHeight="1">
      <c r="A141" s="139" t="s">
        <v>625</v>
      </c>
      <c r="B141" s="168">
        <f>('Pivot Table for Data Exchange'!$F$259)*100</f>
        <v>50.369008141004343</v>
      </c>
      <c r="C141" s="168">
        <f>('Pivot Table for Data Exchange'!$F$262)*100</f>
        <v>0.69134514926411783</v>
      </c>
      <c r="D141" s="169">
        <f>SUM(E141:G141)</f>
        <v>48.939646709731534</v>
      </c>
      <c r="E141" s="168">
        <f>('Pivot Table for Data Exchange'!$F$265)*100</f>
        <v>43.652911517841737</v>
      </c>
      <c r="F141" s="168">
        <f>('Pivot Table for Data Exchange'!$F$268)*100</f>
        <v>5.2867351918898002</v>
      </c>
      <c r="G141" s="176">
        <f>('Pivot Table for Data Exchange'!$F$271)*100</f>
        <v>0</v>
      </c>
      <c r="H141" s="168">
        <f>('Pivot Table for Data Exchange'!$F$274)*100</f>
        <v>0</v>
      </c>
      <c r="I141" s="174" t="s">
        <v>625</v>
      </c>
      <c r="J141" s="168">
        <f>('Pivot Table for Data Exchange'!$F$277)*100</f>
        <v>35.696821515892417</v>
      </c>
      <c r="K141" s="168">
        <f>('Pivot Table for Data Exchange'!$F$280)*100</f>
        <v>4.6693503906217844</v>
      </c>
      <c r="L141" s="169">
        <f>SUM(M141:O141)</f>
        <v>59.633828093485796</v>
      </c>
      <c r="M141" s="168">
        <f>('Pivot Table for Data Exchange'!$F$283)*100</f>
        <v>53.856412536119137</v>
      </c>
      <c r="N141" s="168">
        <f>('Pivot Table for Data Exchange'!$F$286)*100</f>
        <v>5.7774155573666572</v>
      </c>
      <c r="O141" s="176">
        <f>('Pivot Table for Data Exchange'!$F$289)*100</f>
        <v>0</v>
      </c>
      <c r="P141" s="168">
        <f>('Pivot Table for Data Exchange'!$F$292)*100</f>
        <v>0</v>
      </c>
      <c r="Q141" s="173">
        <f t="shared" si="14"/>
        <v>100</v>
      </c>
      <c r="R141" s="173">
        <f t="shared" si="15"/>
        <v>100</v>
      </c>
      <c r="S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row>
    <row r="142" spans="1:41" ht="15.75" customHeight="1">
      <c r="B142" s="168"/>
      <c r="C142" s="168"/>
      <c r="D142" s="169"/>
      <c r="E142" s="168"/>
      <c r="F142" s="168"/>
      <c r="G142" s="176"/>
      <c r="H142" s="168"/>
      <c r="I142" s="174"/>
      <c r="J142" s="168"/>
      <c r="K142" s="168"/>
      <c r="L142" s="169"/>
      <c r="M142" s="168"/>
      <c r="N142" s="168"/>
      <c r="O142" s="176"/>
      <c r="P142" s="168"/>
      <c r="Q142" s="173">
        <f t="shared" si="14"/>
        <v>0</v>
      </c>
      <c r="R142" s="173">
        <f t="shared" si="15"/>
        <v>0</v>
      </c>
      <c r="S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row>
    <row r="143" spans="1:41" ht="15.75" customHeight="1">
      <c r="A143" s="139" t="s">
        <v>626</v>
      </c>
      <c r="B143" s="168">
        <f>('Pivot Table for Data Exchange'!$F$295)*100</f>
        <v>52.58822545576183</v>
      </c>
      <c r="C143" s="168">
        <f>('Pivot Table for Data Exchange'!$F$298)*100</f>
        <v>2.6604479313962504</v>
      </c>
      <c r="D143" s="169">
        <f>SUM(E143:G143)</f>
        <v>44.595097994495887</v>
      </c>
      <c r="E143" s="168">
        <f>('Pivot Table for Data Exchange'!$F$301)*100</f>
        <v>44.592817284739013</v>
      </c>
      <c r="F143" s="168">
        <f>('Pivot Table for Data Exchange'!$F$304)*100</f>
        <v>0</v>
      </c>
      <c r="G143" s="175">
        <f>('Pivot Table for Data Exchange'!$F$307)*100</f>
        <v>2.2807097568763399E-3</v>
      </c>
      <c r="H143" s="168">
        <f>('Pivot Table for Data Exchange'!$F$310)*100</f>
        <v>0.1562286183460293</v>
      </c>
      <c r="I143" s="174" t="s">
        <v>626</v>
      </c>
      <c r="J143" s="168">
        <f>('Pivot Table for Data Exchange'!$F$313)*100</f>
        <v>17.903743923586436</v>
      </c>
      <c r="K143" s="168">
        <f>('Pivot Table for Data Exchange'!$F$316)*100</f>
        <v>0.32123262358927707</v>
      </c>
      <c r="L143" s="169">
        <f>SUM(M143:O143)</f>
        <v>81.416834863689346</v>
      </c>
      <c r="M143" s="168">
        <f>('Pivot Table for Data Exchange'!$F$319)*100</f>
        <v>81.374193364982801</v>
      </c>
      <c r="N143" s="168">
        <f>('Pivot Table for Data Exchange'!$F$322)*100</f>
        <v>0</v>
      </c>
      <c r="O143" s="176">
        <f>('Pivot Table for Data Exchange'!$F$325)*100</f>
        <v>4.2641498706541207E-2</v>
      </c>
      <c r="P143" s="168">
        <f>('Pivot Table for Data Exchange'!$F$328)*100</f>
        <v>0.35818858913494611</v>
      </c>
      <c r="Q143" s="173">
        <f t="shared" si="14"/>
        <v>100</v>
      </c>
      <c r="R143" s="173">
        <f t="shared" si="15"/>
        <v>100</v>
      </c>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row>
    <row r="144" spans="1:41" ht="15.75" customHeight="1">
      <c r="A144" s="139" t="s">
        <v>627</v>
      </c>
      <c r="B144" s="168">
        <f>('Pivot Table for Data Exchange'!$F$331)*100</f>
        <v>37.005324075616535</v>
      </c>
      <c r="C144" s="168">
        <f>('Pivot Table for Data Exchange'!$F$334)*100</f>
        <v>0.14659532360917688</v>
      </c>
      <c r="D144" s="169">
        <f>SUM(E144:G144)</f>
        <v>62.848080600774288</v>
      </c>
      <c r="E144" s="168">
        <f>('Pivot Table for Data Exchange'!$F$337)*100</f>
        <v>62.82809032937304</v>
      </c>
      <c r="F144" s="168">
        <f>('Pivot Table for Data Exchange'!$F$340)*100</f>
        <v>1.9990271401251394E-2</v>
      </c>
      <c r="G144" s="176">
        <f>('Pivot Table for Data Exchange'!$F$343)*100</f>
        <v>0</v>
      </c>
      <c r="H144" s="168">
        <f>('Pivot Table for Data Exchange'!$F$346)*100</f>
        <v>0</v>
      </c>
      <c r="I144" s="174" t="s">
        <v>627</v>
      </c>
      <c r="J144" s="168">
        <f>('Pivot Table for Data Exchange'!$F$349)*100</f>
        <v>21.893659368780209</v>
      </c>
      <c r="K144" s="168">
        <f>('Pivot Table for Data Exchange'!$F$352)*100</f>
        <v>0</v>
      </c>
      <c r="L144" s="169">
        <f>SUM(M144:O144)</f>
        <v>78.10634063121978</v>
      </c>
      <c r="M144" s="168">
        <f>('Pivot Table for Data Exchange'!$F$355)*100</f>
        <v>78.089280636906452</v>
      </c>
      <c r="N144" s="168">
        <f>('Pivot Table for Data Exchange'!$F$358)*100</f>
        <v>1.7059994313335231E-2</v>
      </c>
      <c r="O144" s="176">
        <f>('Pivot Table for Data Exchange'!$F$361)*100</f>
        <v>0</v>
      </c>
      <c r="P144" s="168">
        <f>('Pivot Table for Data Exchange'!$F$364)*100</f>
        <v>0</v>
      </c>
      <c r="Q144" s="173">
        <f t="shared" si="14"/>
        <v>100</v>
      </c>
      <c r="R144" s="173">
        <f t="shared" si="15"/>
        <v>99.999999999999986</v>
      </c>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row>
    <row r="145" spans="1:41" ht="15.75" customHeight="1">
      <c r="A145" s="139" t="s">
        <v>628</v>
      </c>
      <c r="B145" s="168">
        <f>('Pivot Table for Data Exchange'!$F$367)*100</f>
        <v>0</v>
      </c>
      <c r="C145" s="168">
        <f>('Pivot Table for Data Exchange'!$F$370)*100</f>
        <v>0</v>
      </c>
      <c r="D145" s="169">
        <f>SUM(E145:G145)</f>
        <v>0</v>
      </c>
      <c r="E145" s="168">
        <f>('Pivot Table for Data Exchange'!$F$373)*100</f>
        <v>0</v>
      </c>
      <c r="F145" s="168">
        <f>('Pivot Table for Data Exchange'!$F$376)*100</f>
        <v>0</v>
      </c>
      <c r="G145" s="176">
        <f>('Pivot Table for Data Exchange'!$F$379)*100</f>
        <v>0</v>
      </c>
      <c r="H145" s="168">
        <f>('Pivot Table for Data Exchange'!$F$382)*100</f>
        <v>0</v>
      </c>
      <c r="I145" s="174" t="s">
        <v>628</v>
      </c>
      <c r="J145" s="168">
        <f>('Pivot Table for Data Exchange'!$F$385)*100</f>
        <v>0</v>
      </c>
      <c r="K145" s="168">
        <f>('Pivot Table for Data Exchange'!$F$388)*100</f>
        <v>0</v>
      </c>
      <c r="L145" s="169">
        <f>SUM(M145:O145)</f>
        <v>0</v>
      </c>
      <c r="M145" s="168">
        <f>('Pivot Table for Data Exchange'!$F$391)*100</f>
        <v>0</v>
      </c>
      <c r="N145" s="168">
        <f>('Pivot Table for Data Exchange'!$F$394)*100</f>
        <v>0</v>
      </c>
      <c r="O145" s="176">
        <f>('Pivot Table for Data Exchange'!$F$397)*100</f>
        <v>0</v>
      </c>
      <c r="P145" s="168">
        <f>('Pivot Table for Data Exchange'!$F$400)*100</f>
        <v>0</v>
      </c>
      <c r="Q145" s="173">
        <f t="shared" si="14"/>
        <v>0</v>
      </c>
      <c r="R145" s="173">
        <f t="shared" si="15"/>
        <v>0</v>
      </c>
      <c r="S145" s="222"/>
      <c r="T145" s="226"/>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row>
    <row r="146" spans="1:41" ht="15.75" customHeight="1">
      <c r="A146" s="139" t="s">
        <v>629</v>
      </c>
      <c r="B146" s="168">
        <f>('Pivot Table for Data Exchange'!$F$403)*100</f>
        <v>75.762664032735998</v>
      </c>
      <c r="C146" s="168">
        <f>('Pivot Table for Data Exchange'!$F$406)*100</f>
        <v>0.48433751940172143</v>
      </c>
      <c r="D146" s="169">
        <f>SUM(E146:G146)</f>
        <v>23.752998447862282</v>
      </c>
      <c r="E146" s="168">
        <f>('Pivot Table for Data Exchange'!$F$409)*100</f>
        <v>23.752998447862282</v>
      </c>
      <c r="F146" s="168">
        <f>('Pivot Table for Data Exchange'!$F$412)*100</f>
        <v>0</v>
      </c>
      <c r="G146" s="176">
        <f>('Pivot Table for Data Exchange'!$F$415)*100</f>
        <v>0</v>
      </c>
      <c r="H146" s="168">
        <f>('Pivot Table for Data Exchange'!$F$418)*100</f>
        <v>0</v>
      </c>
      <c r="I146" s="174" t="s">
        <v>629</v>
      </c>
      <c r="J146" s="168">
        <f>('Pivot Table for Data Exchange'!$F$421)*100</f>
        <v>33.677979479084449</v>
      </c>
      <c r="K146" s="168">
        <f>('Pivot Table for Data Exchange'!$F$424)*100</f>
        <v>4.0252565114443568</v>
      </c>
      <c r="L146" s="169">
        <f>SUM(M146:O146)</f>
        <v>62.296764009471197</v>
      </c>
      <c r="M146" s="168">
        <f>('Pivot Table for Data Exchange'!$F$427)*100</f>
        <v>62.296764009471197</v>
      </c>
      <c r="N146" s="168">
        <f>('Pivot Table for Data Exchange'!$F$430)*100</f>
        <v>0</v>
      </c>
      <c r="O146" s="176">
        <f>('Pivot Table for Data Exchange'!$F$433)*100</f>
        <v>0</v>
      </c>
      <c r="P146" s="168">
        <f>('Pivot Table for Data Exchange'!$F$436)*100</f>
        <v>0</v>
      </c>
      <c r="Q146" s="173">
        <f t="shared" si="14"/>
        <v>100</v>
      </c>
      <c r="R146" s="173">
        <f t="shared" si="15"/>
        <v>100</v>
      </c>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row>
    <row r="147" spans="1:41" ht="15.75" customHeight="1">
      <c r="B147" s="168"/>
      <c r="C147" s="168"/>
      <c r="D147" s="169"/>
      <c r="E147" s="168"/>
      <c r="F147" s="168"/>
      <c r="G147" s="176"/>
      <c r="H147" s="168"/>
      <c r="I147" s="174"/>
      <c r="J147" s="168"/>
      <c r="K147" s="168"/>
      <c r="L147" s="169"/>
      <c r="M147" s="168"/>
      <c r="N147" s="168"/>
      <c r="O147" s="176"/>
      <c r="P147" s="168"/>
      <c r="Q147" s="173">
        <f t="shared" si="14"/>
        <v>0</v>
      </c>
      <c r="R147" s="173">
        <f t="shared" si="15"/>
        <v>0</v>
      </c>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row>
    <row r="148" spans="1:41" ht="15.75" customHeight="1">
      <c r="A148" s="139" t="s">
        <v>630</v>
      </c>
      <c r="B148" s="168">
        <f>('Pivot Table for Data Exchange'!$F$439)*100</f>
        <v>48.496981450780439</v>
      </c>
      <c r="C148" s="168">
        <f>('Pivot Table for Data Exchange'!$F$442)*100</f>
        <v>6.9223310081641589</v>
      </c>
      <c r="D148" s="169">
        <f>SUM(E148:G148)</f>
        <v>44.465576026775942</v>
      </c>
      <c r="E148" s="168">
        <f>('Pivot Table for Data Exchange'!$F$445)*100</f>
        <v>43.060464825299512</v>
      </c>
      <c r="F148" s="168">
        <f>('Pivot Table for Data Exchange'!$F$448)*100</f>
        <v>1.3600675654540337</v>
      </c>
      <c r="G148" s="176">
        <f>('Pivot Table for Data Exchange'!$F$451)*100</f>
        <v>4.5043636022396694E-2</v>
      </c>
      <c r="H148" s="168">
        <f>('Pivot Table for Data Exchange'!$F$454)*100</f>
        <v>0.11511151427945822</v>
      </c>
      <c r="I148" s="174" t="s">
        <v>630</v>
      </c>
      <c r="J148" s="168">
        <f>('Pivot Table for Data Exchange'!$F$457)*100</f>
        <v>4.8190704853369919</v>
      </c>
      <c r="K148" s="168">
        <f>('Pivot Table for Data Exchange'!$F$460)*100</f>
        <v>0</v>
      </c>
      <c r="L148" s="169">
        <f>SUM(M148:O148)</f>
        <v>95.180929514663006</v>
      </c>
      <c r="M148" s="168">
        <f>('Pivot Table for Data Exchange'!$F$463)*100</f>
        <v>95.180929514663006</v>
      </c>
      <c r="N148" s="168">
        <f>('Pivot Table for Data Exchange'!$F$466)*100</f>
        <v>0</v>
      </c>
      <c r="O148" s="176">
        <f>('Pivot Table for Data Exchange'!$F$469)*100</f>
        <v>0</v>
      </c>
      <c r="P148" s="168">
        <f>('Pivot Table for Data Exchange'!$F$472)*100</f>
        <v>0</v>
      </c>
      <c r="Q148" s="173">
        <f t="shared" si="14"/>
        <v>100</v>
      </c>
      <c r="R148" s="173">
        <f t="shared" si="15"/>
        <v>100</v>
      </c>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row>
    <row r="149" spans="1:41" ht="15.75" customHeight="1">
      <c r="A149" s="139" t="s">
        <v>631</v>
      </c>
      <c r="B149" s="168">
        <f>('Pivot Table for Data Exchange'!$F$475)*100</f>
        <v>26.014650974737997</v>
      </c>
      <c r="C149" s="168">
        <f>('Pivot Table for Data Exchange'!$F$478)*100</f>
        <v>0.95982545148319987</v>
      </c>
      <c r="D149" s="169">
        <f>SUM(E149:G149)</f>
        <v>73.025523573778813</v>
      </c>
      <c r="E149" s="168">
        <f>('Pivot Table for Data Exchange'!$F$481)*100</f>
        <v>72.604942032475847</v>
      </c>
      <c r="F149" s="168">
        <f>('Pivot Table for Data Exchange'!$F$484)*100</f>
        <v>0.35726304608214821</v>
      </c>
      <c r="G149" s="176">
        <f>('Pivot Table for Data Exchange'!$F$487)*100</f>
        <v>6.331849522080929E-2</v>
      </c>
      <c r="H149" s="168">
        <f>('Pivot Table for Data Exchange'!$F$490)*100</f>
        <v>0</v>
      </c>
      <c r="I149" s="174" t="s">
        <v>631</v>
      </c>
      <c r="J149" s="168">
        <f>('Pivot Table for Data Exchange'!$F$493)*100</f>
        <v>12.405750948344494</v>
      </c>
      <c r="K149" s="168">
        <f>('Pivot Table for Data Exchange'!$F$496)*100</f>
        <v>6.8140308153421065</v>
      </c>
      <c r="L149" s="169">
        <f>SUM(M149:O149)</f>
        <v>80.780218236313388</v>
      </c>
      <c r="M149" s="168">
        <f>('Pivot Table for Data Exchange'!$F$499)*100</f>
        <v>78.637662155200672</v>
      </c>
      <c r="N149" s="168">
        <f>('Pivot Table for Data Exchange'!$F$502)*100</f>
        <v>0.8359481103357842</v>
      </c>
      <c r="O149" s="176">
        <f>('Pivot Table for Data Exchange'!$F$505)*100</f>
        <v>1.30660797077694</v>
      </c>
      <c r="P149" s="168">
        <f>('Pivot Table for Data Exchange'!$F$508)*100</f>
        <v>0</v>
      </c>
      <c r="Q149" s="173">
        <f t="shared" si="14"/>
        <v>100.00000000000001</v>
      </c>
      <c r="R149" s="173">
        <f t="shared" si="15"/>
        <v>99.999999999999986</v>
      </c>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row>
    <row r="150" spans="1:41" ht="15.75" customHeight="1">
      <c r="A150" s="139" t="s">
        <v>632</v>
      </c>
      <c r="B150" s="168">
        <f>('Pivot Table for Data Exchange'!$F$511)*100</f>
        <v>68.14447157205305</v>
      </c>
      <c r="C150" s="168">
        <f>('Pivot Table for Data Exchange'!$F$514)*100</f>
        <v>5.8478677212321452E-2</v>
      </c>
      <c r="D150" s="169">
        <f>SUM(E150:G150)</f>
        <v>31.79704975073464</v>
      </c>
      <c r="E150" s="168">
        <f>('Pivot Table for Data Exchange'!$F$517)*100</f>
        <v>31.79704975073464</v>
      </c>
      <c r="F150" s="168">
        <f>('Pivot Table for Data Exchange'!$F$520)*100</f>
        <v>0</v>
      </c>
      <c r="G150" s="176">
        <f>('Pivot Table for Data Exchange'!$F$523)*100</f>
        <v>0</v>
      </c>
      <c r="H150" s="168">
        <f>('Pivot Table for Data Exchange'!$F$526)*100</f>
        <v>0</v>
      </c>
      <c r="I150" s="174" t="s">
        <v>632</v>
      </c>
      <c r="J150" s="168">
        <f>('Pivot Table for Data Exchange'!$F$529)*100</f>
        <v>72.064203941933201</v>
      </c>
      <c r="K150" s="168">
        <f>('Pivot Table for Data Exchange'!$F$532)*100</f>
        <v>0</v>
      </c>
      <c r="L150" s="169">
        <f>SUM(M150:O150)</f>
        <v>27.935796058066803</v>
      </c>
      <c r="M150" s="168">
        <f>('Pivot Table for Data Exchange'!$F$535)*100</f>
        <v>27.935796058066803</v>
      </c>
      <c r="N150" s="168">
        <f>('Pivot Table for Data Exchange'!$F$538)*100</f>
        <v>0</v>
      </c>
      <c r="O150" s="176">
        <f>('Pivot Table for Data Exchange'!$F$541)*100</f>
        <v>0</v>
      </c>
      <c r="P150" s="168">
        <f>('Pivot Table for Data Exchange'!$F$544)*100</f>
        <v>0</v>
      </c>
      <c r="Q150" s="173">
        <f t="shared" si="14"/>
        <v>100.00000000000001</v>
      </c>
      <c r="R150" s="173">
        <f t="shared" si="15"/>
        <v>100</v>
      </c>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row>
    <row r="151" spans="1:41" ht="15.75" customHeight="1">
      <c r="A151" s="145" t="s">
        <v>633</v>
      </c>
      <c r="B151" s="181">
        <f>('Pivot Table for Data Exchange'!$F$547)*100</f>
        <v>0</v>
      </c>
      <c r="C151" s="181">
        <f>('Pivot Table for Data Exchange'!$F$550)*100</f>
        <v>0</v>
      </c>
      <c r="D151" s="182">
        <f>SUM(E151:G151)</f>
        <v>0</v>
      </c>
      <c r="E151" s="181">
        <f>('Pivot Table for Data Exchange'!$F$553)*100</f>
        <v>0</v>
      </c>
      <c r="F151" s="181">
        <f>('Pivot Table for Data Exchange'!$F$556)*100</f>
        <v>0</v>
      </c>
      <c r="G151" s="183">
        <f>('Pivot Table for Data Exchange'!$F$559)*100</f>
        <v>0</v>
      </c>
      <c r="H151" s="181">
        <f>('Pivot Table for Data Exchange'!$F$562)*100</f>
        <v>0</v>
      </c>
      <c r="I151" s="184" t="s">
        <v>633</v>
      </c>
      <c r="J151" s="181">
        <f>('Pivot Table for Data Exchange'!$F$565)*100</f>
        <v>0</v>
      </c>
      <c r="K151" s="181">
        <f>('Pivot Table for Data Exchange'!$F$568)*100</f>
        <v>0</v>
      </c>
      <c r="L151" s="182">
        <f>SUM(M151:O151)</f>
        <v>0</v>
      </c>
      <c r="M151" s="181">
        <f>('Pivot Table for Data Exchange'!$F$571)*100</f>
        <v>0</v>
      </c>
      <c r="N151" s="181">
        <f>('Pivot Table for Data Exchange'!$F$574)*100</f>
        <v>0</v>
      </c>
      <c r="O151" s="183">
        <f>('Pivot Table for Data Exchange'!$F$577)*100</f>
        <v>0</v>
      </c>
      <c r="P151" s="181">
        <f>('Pivot Table for Data Exchange'!$F$580)*100</f>
        <v>0</v>
      </c>
      <c r="Q151" s="173">
        <f t="shared" si="14"/>
        <v>0</v>
      </c>
      <c r="R151" s="173">
        <f t="shared" si="15"/>
        <v>0</v>
      </c>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row>
    <row r="152" spans="1:41" s="212" customFormat="1" ht="12.75" customHeight="1">
      <c r="A152" s="187" t="s">
        <v>658</v>
      </c>
      <c r="B152" s="188"/>
      <c r="C152" s="188"/>
      <c r="D152" s="189"/>
      <c r="E152" s="188"/>
      <c r="F152" s="189"/>
      <c r="G152" s="189"/>
      <c r="H152" s="188"/>
      <c r="I152" s="187" t="s">
        <v>658</v>
      </c>
      <c r="J152" s="188"/>
      <c r="K152" s="188"/>
      <c r="L152" s="189"/>
      <c r="M152" s="188"/>
      <c r="N152" s="189"/>
      <c r="O152" s="189"/>
      <c r="P152" s="188"/>
      <c r="Q152" s="173">
        <f t="shared" si="14"/>
        <v>0</v>
      </c>
      <c r="R152" s="173">
        <f t="shared" si="15"/>
        <v>0</v>
      </c>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row>
    <row r="153" spans="1:41" s="212" customFormat="1" ht="24" customHeight="1">
      <c r="A153" s="492" t="s">
        <v>664</v>
      </c>
      <c r="B153" s="493"/>
      <c r="C153" s="493"/>
      <c r="D153" s="493"/>
      <c r="E153" s="493"/>
      <c r="F153" s="493"/>
      <c r="G153" s="493"/>
      <c r="H153" s="493"/>
      <c r="I153" s="492" t="s">
        <v>664</v>
      </c>
      <c r="J153" s="493"/>
      <c r="K153" s="493"/>
      <c r="L153" s="493"/>
      <c r="M153" s="493"/>
      <c r="N153" s="493"/>
      <c r="O153" s="493"/>
      <c r="P153" s="493"/>
      <c r="Q153" s="173">
        <f t="shared" si="14"/>
        <v>0</v>
      </c>
      <c r="R153" s="173">
        <f t="shared" si="15"/>
        <v>0</v>
      </c>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row>
    <row r="154" spans="1:41" s="212" customFormat="1" ht="9.75" customHeight="1">
      <c r="A154" s="191"/>
      <c r="B154" s="200"/>
      <c r="C154" s="200"/>
      <c r="D154" s="200"/>
      <c r="E154" s="200"/>
      <c r="F154" s="200"/>
      <c r="G154" s="200"/>
      <c r="H154" s="200"/>
      <c r="I154" s="191"/>
      <c r="J154" s="200"/>
      <c r="K154" s="200"/>
      <c r="L154" s="200"/>
      <c r="M154" s="200"/>
      <c r="N154" s="200"/>
      <c r="O154" s="200"/>
      <c r="P154" s="200"/>
      <c r="Q154" s="173"/>
      <c r="R154" s="173"/>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row>
    <row r="155" spans="1:41" s="212" customFormat="1" ht="13.5" customHeight="1">
      <c r="A155" s="197"/>
      <c r="B155" s="198"/>
      <c r="C155" s="186"/>
      <c r="D155" s="186"/>
      <c r="E155" s="186"/>
      <c r="F155" s="186"/>
      <c r="G155" s="186"/>
      <c r="H155" s="192" t="s">
        <v>923</v>
      </c>
      <c r="I155" s="197"/>
      <c r="J155" s="186"/>
      <c r="K155" s="186"/>
      <c r="L155" s="186"/>
      <c r="M155" s="186"/>
      <c r="N155" s="186"/>
      <c r="O155" s="186"/>
      <c r="P155" s="192" t="s">
        <v>923</v>
      </c>
      <c r="Q155" s="173">
        <f t="shared" ref="Q155:Q216" si="24">SUM(B155,C155,D155,H155)</f>
        <v>0</v>
      </c>
      <c r="R155" s="173">
        <f t="shared" ref="R155:R216" si="25">SUM(J155,K155,L155,P155)</f>
        <v>0</v>
      </c>
    </row>
    <row r="156" spans="1:41" ht="18">
      <c r="A156" s="134" t="s">
        <v>667</v>
      </c>
      <c r="B156" s="135"/>
      <c r="C156" s="135"/>
      <c r="D156" s="135"/>
      <c r="E156" s="135"/>
      <c r="F156" s="135"/>
      <c r="G156" s="135"/>
      <c r="H156" s="135"/>
      <c r="I156" s="134" t="s">
        <v>668</v>
      </c>
      <c r="J156" s="136"/>
      <c r="K156" s="136"/>
      <c r="L156" s="135"/>
      <c r="M156" s="136"/>
      <c r="N156" s="136"/>
      <c r="O156" s="136"/>
      <c r="P156" s="136"/>
      <c r="Q156" s="173">
        <f t="shared" si="24"/>
        <v>0</v>
      </c>
      <c r="R156" s="173">
        <f t="shared" si="25"/>
        <v>0</v>
      </c>
    </row>
    <row r="157" spans="1:41" ht="13">
      <c r="A157" s="140"/>
      <c r="B157" s="136"/>
      <c r="C157" s="136"/>
      <c r="D157" s="136"/>
      <c r="E157" s="136"/>
      <c r="F157" s="136"/>
      <c r="G157" s="136"/>
      <c r="H157" s="136"/>
      <c r="I157" s="140"/>
      <c r="J157" s="136"/>
      <c r="K157" s="136"/>
      <c r="L157" s="136"/>
      <c r="M157" s="136"/>
      <c r="N157" s="136"/>
      <c r="O157" s="136"/>
      <c r="P157" s="136"/>
      <c r="Q157" s="173">
        <f t="shared" si="24"/>
        <v>0</v>
      </c>
      <c r="R157" s="173">
        <f t="shared" si="25"/>
        <v>0</v>
      </c>
    </row>
    <row r="158" spans="1:41" ht="15.5">
      <c r="A158" s="142" t="s">
        <v>639</v>
      </c>
      <c r="B158" s="136"/>
      <c r="C158" s="136"/>
      <c r="D158" s="136"/>
      <c r="E158" s="136"/>
      <c r="F158" s="136"/>
      <c r="G158" s="136"/>
      <c r="H158" s="136"/>
      <c r="I158" s="142" t="s">
        <v>640</v>
      </c>
      <c r="J158" s="136"/>
      <c r="K158" s="136"/>
      <c r="L158" s="136"/>
      <c r="M158" s="136"/>
      <c r="N158" s="136"/>
      <c r="O158" s="136"/>
      <c r="P158" s="136"/>
      <c r="Q158" s="173">
        <f t="shared" si="24"/>
        <v>0</v>
      </c>
      <c r="R158" s="173">
        <f t="shared" si="25"/>
        <v>0</v>
      </c>
    </row>
    <row r="159" spans="1:41" ht="15.5">
      <c r="A159" s="142" t="s">
        <v>886</v>
      </c>
      <c r="B159" s="136"/>
      <c r="C159" s="136"/>
      <c r="D159" s="136"/>
      <c r="E159" s="136"/>
      <c r="F159" s="136"/>
      <c r="G159" s="136"/>
      <c r="H159" s="136"/>
      <c r="I159" s="142" t="s">
        <v>886</v>
      </c>
      <c r="J159" s="136"/>
      <c r="K159" s="136"/>
      <c r="L159" s="136"/>
      <c r="M159" s="136"/>
      <c r="N159" s="136"/>
      <c r="O159" s="136"/>
      <c r="P159" s="136"/>
      <c r="Q159" s="173">
        <f t="shared" si="24"/>
        <v>0</v>
      </c>
      <c r="R159" s="173">
        <f t="shared" si="25"/>
        <v>0</v>
      </c>
    </row>
    <row r="160" spans="1:41">
      <c r="A160" s="145"/>
      <c r="B160" s="146"/>
      <c r="C160" s="146"/>
      <c r="D160" s="146"/>
      <c r="E160" s="146"/>
      <c r="F160" s="146"/>
      <c r="G160" s="146"/>
      <c r="H160" s="146"/>
      <c r="I160" s="147"/>
      <c r="L160" s="148"/>
      <c r="P160" s="145"/>
      <c r="Q160" s="173">
        <f t="shared" si="24"/>
        <v>0</v>
      </c>
      <c r="R160" s="173">
        <f t="shared" si="25"/>
        <v>0</v>
      </c>
    </row>
    <row r="161" spans="1:41" s="166" customFormat="1">
      <c r="A161" s="150"/>
      <c r="B161" s="151" t="s">
        <v>641</v>
      </c>
      <c r="C161" s="151"/>
      <c r="D161" s="151"/>
      <c r="E161" s="151"/>
      <c r="F161" s="151"/>
      <c r="G161" s="151"/>
      <c r="H161" s="152"/>
      <c r="I161" s="150"/>
      <c r="J161" s="151" t="s">
        <v>641</v>
      </c>
      <c r="K161" s="151"/>
      <c r="L161" s="151"/>
      <c r="M161" s="151"/>
      <c r="N161" s="151"/>
      <c r="O161" s="151"/>
      <c r="P161" s="152"/>
      <c r="Q161" s="173">
        <f t="shared" si="24"/>
        <v>0</v>
      </c>
      <c r="R161" s="173">
        <f t="shared" si="25"/>
        <v>0</v>
      </c>
    </row>
    <row r="162" spans="1:41" s="166" customFormat="1">
      <c r="A162" s="150"/>
      <c r="B162" s="151" t="s">
        <v>642</v>
      </c>
      <c r="C162" s="151"/>
      <c r="D162" s="487" t="s">
        <v>643</v>
      </c>
      <c r="E162" s="485"/>
      <c r="F162" s="485"/>
      <c r="G162" s="485"/>
      <c r="H162" s="158" t="s">
        <v>533</v>
      </c>
      <c r="I162" s="150"/>
      <c r="J162" s="151" t="s">
        <v>642</v>
      </c>
      <c r="K162" s="151"/>
      <c r="L162" s="487" t="s">
        <v>643</v>
      </c>
      <c r="M162" s="485"/>
      <c r="N162" s="485"/>
      <c r="O162" s="485"/>
      <c r="P162" s="158" t="s">
        <v>533</v>
      </c>
      <c r="Q162" s="173">
        <f t="shared" si="24"/>
        <v>0</v>
      </c>
      <c r="R162" s="173">
        <f t="shared" si="25"/>
        <v>0</v>
      </c>
    </row>
    <row r="163" spans="1:41" s="166" customFormat="1" ht="40.5" customHeight="1">
      <c r="A163" s="150"/>
      <c r="B163" s="159" t="s">
        <v>644</v>
      </c>
      <c r="C163" s="160" t="s">
        <v>645</v>
      </c>
      <c r="D163" s="161" t="s">
        <v>646</v>
      </c>
      <c r="E163" s="162" t="s">
        <v>8</v>
      </c>
      <c r="F163" s="159" t="s">
        <v>647</v>
      </c>
      <c r="G163" s="163" t="s">
        <v>656</v>
      </c>
      <c r="H163" s="164" t="s">
        <v>649</v>
      </c>
      <c r="I163" s="150"/>
      <c r="J163" s="159" t="s">
        <v>644</v>
      </c>
      <c r="K163" s="160" t="s">
        <v>645</v>
      </c>
      <c r="L163" s="161" t="s">
        <v>646</v>
      </c>
      <c r="M163" s="162" t="s">
        <v>8</v>
      </c>
      <c r="N163" s="159" t="s">
        <v>647</v>
      </c>
      <c r="O163" s="163" t="s">
        <v>656</v>
      </c>
      <c r="P163" s="164" t="s">
        <v>649</v>
      </c>
      <c r="Q163" s="173">
        <f t="shared" si="24"/>
        <v>0</v>
      </c>
      <c r="R163" s="173">
        <f t="shared" si="25"/>
        <v>0</v>
      </c>
      <c r="T163" s="165"/>
    </row>
    <row r="164" spans="1:41" ht="15.75" customHeight="1">
      <c r="A164" s="194" t="s">
        <v>618</v>
      </c>
      <c r="B164" s="221">
        <f>('Pivot Table for Data Exchange'!$G$7)*100</f>
        <v>69.008994539029871</v>
      </c>
      <c r="C164" s="168">
        <f>('Pivot Table for Data Exchange'!$G$10)*100</f>
        <v>9.6370061034371981E-3</v>
      </c>
      <c r="D164" s="169">
        <f>SUM(E164:G164)</f>
        <v>30.981368454866686</v>
      </c>
      <c r="E164" s="168">
        <f>('Pivot Table for Data Exchange'!$G$13)*100</f>
        <v>30.981368454866686</v>
      </c>
      <c r="F164" s="168">
        <f>('Pivot Table for Data Exchange'!$G$16)*100</f>
        <v>0</v>
      </c>
      <c r="G164" s="172">
        <f>('Pivot Table for Data Exchange'!$G$19)*100</f>
        <v>0</v>
      </c>
      <c r="H164" s="168">
        <f>('Pivot Table for Data Exchange'!$G$22)*100</f>
        <v>0</v>
      </c>
      <c r="I164" s="171" t="s">
        <v>618</v>
      </c>
      <c r="J164" s="168">
        <f>('Pivot Table for Data Exchange'!$G$25)*100</f>
        <v>58.161886169094458</v>
      </c>
      <c r="K164" s="168">
        <f>('Pivot Table for Data Exchange'!$G$28)*100</f>
        <v>0</v>
      </c>
      <c r="L164" s="169">
        <f>SUM(M164:O164)</f>
        <v>41.838113830905542</v>
      </c>
      <c r="M164" s="168">
        <f>('Pivot Table for Data Exchange'!$G$31)*100</f>
        <v>41.838113830905542</v>
      </c>
      <c r="N164" s="168">
        <f>('Pivot Table for Data Exchange'!$G$34)*100</f>
        <v>0</v>
      </c>
      <c r="O164" s="172">
        <f>('Pivot Table for Data Exchange'!$G$37)*100</f>
        <v>0</v>
      </c>
      <c r="P164" s="168">
        <f>('Pivot Table for Data Exchange'!$G$40)*100</f>
        <v>0</v>
      </c>
      <c r="Q164" s="173">
        <f t="shared" si="24"/>
        <v>99.999999999999986</v>
      </c>
      <c r="R164" s="173">
        <f t="shared" si="25"/>
        <v>100</v>
      </c>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row>
    <row r="165" spans="1:41" ht="15.75" customHeight="1">
      <c r="A165" s="139" t="s">
        <v>619</v>
      </c>
      <c r="B165" s="168">
        <f>('Pivot Table for Data Exchange'!$G$43)*100</f>
        <v>0</v>
      </c>
      <c r="C165" s="168">
        <f>('Pivot Table for Data Exchange'!$G$46)*100</f>
        <v>0</v>
      </c>
      <c r="D165" s="169">
        <f t="shared" ref="D165:D167" si="26">SUM(E165:G165)</f>
        <v>0</v>
      </c>
      <c r="E165" s="168">
        <f>('Pivot Table for Data Exchange'!$G$49)*100</f>
        <v>0</v>
      </c>
      <c r="F165" s="168">
        <f>('Pivot Table for Data Exchange'!$G$52)*100</f>
        <v>0</v>
      </c>
      <c r="G165" s="176">
        <f>('Pivot Table for Data Exchange'!$G$55)*100</f>
        <v>0</v>
      </c>
      <c r="H165" s="168">
        <f>('Pivot Table for Data Exchange'!$G$58)*100</f>
        <v>0</v>
      </c>
      <c r="I165" s="174" t="s">
        <v>619</v>
      </c>
      <c r="J165" s="168">
        <f>('Pivot Table for Data Exchange'!$G$61)*100</f>
        <v>0</v>
      </c>
      <c r="K165" s="168">
        <f>('Pivot Table for Data Exchange'!$G$64)*100</f>
        <v>0</v>
      </c>
      <c r="L165" s="169">
        <f t="shared" ref="L165:L167" si="27">SUM(M165:O165)</f>
        <v>0</v>
      </c>
      <c r="M165" s="168">
        <f>('Pivot Table for Data Exchange'!$G$67)*100</f>
        <v>0</v>
      </c>
      <c r="N165" s="168">
        <f>('Pivot Table for Data Exchange'!$G$70)*100</f>
        <v>0</v>
      </c>
      <c r="O165" s="176">
        <f>('Pivot Table for Data Exchange'!$G$73)*100</f>
        <v>0</v>
      </c>
      <c r="P165" s="168">
        <f>('Pivot Table for Data Exchange'!$G$76)*100</f>
        <v>0</v>
      </c>
      <c r="Q165" s="173">
        <f t="shared" si="24"/>
        <v>0</v>
      </c>
      <c r="R165" s="173">
        <f t="shared" si="25"/>
        <v>0</v>
      </c>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row>
    <row r="166" spans="1:41" ht="15.75" customHeight="1">
      <c r="A166" s="139" t="s">
        <v>620</v>
      </c>
      <c r="B166" s="168">
        <f>('Pivot Table for Data Exchange'!$G$79)*100</f>
        <v>0</v>
      </c>
      <c r="C166" s="168">
        <f>('Pivot Table for Data Exchange'!$G$82)*100</f>
        <v>0</v>
      </c>
      <c r="D166" s="169">
        <f t="shared" si="26"/>
        <v>0</v>
      </c>
      <c r="E166" s="168">
        <f>('Pivot Table for Data Exchange'!$G$85)*100</f>
        <v>0</v>
      </c>
      <c r="F166" s="168">
        <f>('Pivot Table for Data Exchange'!$G$88)*100</f>
        <v>0</v>
      </c>
      <c r="G166" s="176">
        <f>('Pivot Table for Data Exchange'!$G$91)*100</f>
        <v>0</v>
      </c>
      <c r="H166" s="168">
        <f>('Pivot Table for Data Exchange'!$G$94)*100</f>
        <v>0</v>
      </c>
      <c r="I166" s="174" t="s">
        <v>620</v>
      </c>
      <c r="J166" s="168">
        <f>('Pivot Table for Data Exchange'!$G$97)*100</f>
        <v>0</v>
      </c>
      <c r="K166" s="168">
        <f>('Pivot Table for Data Exchange'!$G$100)*100</f>
        <v>0</v>
      </c>
      <c r="L166" s="169">
        <f t="shared" si="27"/>
        <v>0</v>
      </c>
      <c r="M166" s="168">
        <f>('Pivot Table for Data Exchange'!$G$103)*100</f>
        <v>0</v>
      </c>
      <c r="N166" s="168">
        <f>('Pivot Table for Data Exchange'!$G$106)*100</f>
        <v>0</v>
      </c>
      <c r="O166" s="176">
        <f>('Pivot Table for Data Exchange'!$G$109)*100</f>
        <v>0</v>
      </c>
      <c r="P166" s="168">
        <f>('Pivot Table for Data Exchange'!$G$112)*100</f>
        <v>0</v>
      </c>
      <c r="Q166" s="173">
        <f t="shared" si="24"/>
        <v>0</v>
      </c>
      <c r="R166" s="173">
        <f t="shared" si="25"/>
        <v>0</v>
      </c>
      <c r="S166" s="222"/>
      <c r="T166" s="226"/>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row>
    <row r="167" spans="1:41" ht="15.75" customHeight="1">
      <c r="A167" s="139" t="s">
        <v>621</v>
      </c>
      <c r="B167" s="168">
        <f>('Pivot Table for Data Exchange'!$G$115)*100</f>
        <v>0</v>
      </c>
      <c r="C167" s="168">
        <f>('Pivot Table for Data Exchange'!$G$118)*100</f>
        <v>0</v>
      </c>
      <c r="D167" s="169">
        <f t="shared" si="26"/>
        <v>0</v>
      </c>
      <c r="E167" s="168">
        <f>('Pivot Table for Data Exchange'!$G$121)*100</f>
        <v>0</v>
      </c>
      <c r="F167" s="168">
        <f>('Pivot Table for Data Exchange'!$G$124)*100</f>
        <v>0</v>
      </c>
      <c r="G167" s="176">
        <f>('Pivot Table for Data Exchange'!$G$127)*100</f>
        <v>0</v>
      </c>
      <c r="H167" s="168">
        <f>('Pivot Table for Data Exchange'!$G$130)*100</f>
        <v>0</v>
      </c>
      <c r="I167" s="174" t="s">
        <v>621</v>
      </c>
      <c r="J167" s="168">
        <f>('Pivot Table for Data Exchange'!$G$133)*100</f>
        <v>0</v>
      </c>
      <c r="K167" s="168">
        <f>('Pivot Table for Data Exchange'!$G$136)*100</f>
        <v>0</v>
      </c>
      <c r="L167" s="169">
        <f t="shared" si="27"/>
        <v>0</v>
      </c>
      <c r="M167" s="168">
        <f>('Pivot Table for Data Exchange'!$G$139)*100</f>
        <v>0</v>
      </c>
      <c r="N167" s="168">
        <f>('Pivot Table for Data Exchange'!$G$142)*100</f>
        <v>0</v>
      </c>
      <c r="O167" s="176">
        <f>('Pivot Table for Data Exchange'!$G$145)*100</f>
        <v>0</v>
      </c>
      <c r="P167" s="168">
        <f>('Pivot Table for Data Exchange'!$G$148)*100</f>
        <v>0</v>
      </c>
      <c r="Q167" s="173">
        <f t="shared" si="24"/>
        <v>0</v>
      </c>
      <c r="R167" s="173">
        <f t="shared" si="25"/>
        <v>0</v>
      </c>
      <c r="S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row>
    <row r="168" spans="1:41" ht="10.5" customHeight="1">
      <c r="B168" s="168"/>
      <c r="C168" s="168"/>
      <c r="D168" s="169"/>
      <c r="E168" s="168"/>
      <c r="F168" s="168"/>
      <c r="G168" s="176"/>
      <c r="H168" s="168"/>
      <c r="I168" s="174"/>
      <c r="J168" s="168"/>
      <c r="K168" s="168"/>
      <c r="L168" s="169"/>
      <c r="M168" s="168"/>
      <c r="N168" s="168"/>
      <c r="O168" s="176"/>
      <c r="P168" s="168"/>
      <c r="Q168" s="173">
        <f t="shared" si="24"/>
        <v>0</v>
      </c>
      <c r="R168" s="173">
        <f t="shared" si="25"/>
        <v>0</v>
      </c>
      <c r="S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row>
    <row r="169" spans="1:41" ht="15.75" customHeight="1">
      <c r="A169" s="139" t="s">
        <v>622</v>
      </c>
      <c r="B169" s="168">
        <f>('Pivot Table for Data Exchange'!$G$151)*100</f>
        <v>52.721679071351602</v>
      </c>
      <c r="C169" s="168">
        <f>('Pivot Table for Data Exchange'!$G$154)*100</f>
        <v>0.43327991781081976</v>
      </c>
      <c r="D169" s="169">
        <f t="shared" ref="D169:D170" si="28">SUM(E169:G169)</f>
        <v>46.845041010837583</v>
      </c>
      <c r="E169" s="168">
        <f>('Pivot Table for Data Exchange'!$G$157)*100</f>
        <v>46.317399873812811</v>
      </c>
      <c r="F169" s="180">
        <f>('Pivot Table for Data Exchange'!$G$160)*100</f>
        <v>0.20491460030485933</v>
      </c>
      <c r="G169" s="175">
        <f>('Pivot Table for Data Exchange'!$G$163)*100</f>
        <v>0.32272653671991469</v>
      </c>
      <c r="H169" s="168">
        <f>('Pivot Table for Data Exchange'!$G$166)*100</f>
        <v>0</v>
      </c>
      <c r="I169" s="174" t="s">
        <v>622</v>
      </c>
      <c r="J169" s="168">
        <f>('Pivot Table for Data Exchange'!$G$169)*100</f>
        <v>23.658974200334097</v>
      </c>
      <c r="K169" s="168">
        <f>('Pivot Table for Data Exchange'!$G$172)*100</f>
        <v>10.097135432778568</v>
      </c>
      <c r="L169" s="169">
        <f t="shared" ref="L169:L170" si="29">SUM(M169:O169)</f>
        <v>66.243890366887328</v>
      </c>
      <c r="M169" s="168">
        <f>('Pivot Table for Data Exchange'!$G$175)*100</f>
        <v>66.052094289426464</v>
      </c>
      <c r="N169" s="168">
        <f>('Pivot Table for Data Exchange'!$G$178)*100</f>
        <v>0</v>
      </c>
      <c r="O169" s="176">
        <f>('Pivot Table for Data Exchange'!$G$181)*100</f>
        <v>0.19179607746086741</v>
      </c>
      <c r="P169" s="168">
        <f>('Pivot Table for Data Exchange'!$G$184)*100</f>
        <v>0</v>
      </c>
      <c r="Q169" s="173">
        <f t="shared" si="24"/>
        <v>100</v>
      </c>
      <c r="R169" s="173">
        <f t="shared" si="25"/>
        <v>100</v>
      </c>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row>
    <row r="170" spans="1:41" ht="15.75" customHeight="1">
      <c r="A170" s="139" t="s">
        <v>623</v>
      </c>
      <c r="B170" s="168">
        <f>('Pivot Table for Data Exchange'!$G$187)*100</f>
        <v>0</v>
      </c>
      <c r="C170" s="168">
        <f>('Pivot Table for Data Exchange'!$G$190)*100</f>
        <v>0</v>
      </c>
      <c r="D170" s="169">
        <f t="shared" si="28"/>
        <v>0</v>
      </c>
      <c r="E170" s="168">
        <f>('Pivot Table for Data Exchange'!$G$193)*100</f>
        <v>0</v>
      </c>
      <c r="F170" s="168">
        <f>('Pivot Table for Data Exchange'!$G$196)*100</f>
        <v>0</v>
      </c>
      <c r="G170" s="176">
        <f>('Pivot Table for Data Exchange'!$G$199)*100</f>
        <v>0</v>
      </c>
      <c r="H170" s="168">
        <f>('Pivot Table for Data Exchange'!$G$202)*100</f>
        <v>0</v>
      </c>
      <c r="I170" s="174" t="s">
        <v>623</v>
      </c>
      <c r="J170" s="168">
        <f>('Pivot Table for Data Exchange'!$G$205)*100</f>
        <v>0</v>
      </c>
      <c r="K170" s="168">
        <f>('Pivot Table for Data Exchange'!$G$208)*100</f>
        <v>0</v>
      </c>
      <c r="L170" s="169">
        <f t="shared" si="29"/>
        <v>0</v>
      </c>
      <c r="M170" s="168">
        <f>('Pivot Table for Data Exchange'!$G$211)*100</f>
        <v>0</v>
      </c>
      <c r="N170" s="168">
        <f>('Pivot Table for Data Exchange'!$G$214)*100</f>
        <v>0</v>
      </c>
      <c r="O170" s="176">
        <f>('Pivot Table for Data Exchange'!$G$217)*100</f>
        <v>0</v>
      </c>
      <c r="P170" s="168">
        <f>('Pivot Table for Data Exchange'!$G$220)*100</f>
        <v>0</v>
      </c>
      <c r="Q170" s="173">
        <f t="shared" si="24"/>
        <v>0</v>
      </c>
      <c r="R170" s="173">
        <f t="shared" si="25"/>
        <v>0</v>
      </c>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row>
    <row r="171" spans="1:41" ht="15.75" customHeight="1">
      <c r="A171" s="139" t="s">
        <v>624</v>
      </c>
      <c r="B171" s="168">
        <f>('Pivot Table for Data Exchange'!$G$223)*100</f>
        <v>0</v>
      </c>
      <c r="C171" s="168">
        <f>('Pivot Table for Data Exchange'!$G$226)*100</f>
        <v>0</v>
      </c>
      <c r="D171" s="169">
        <f>SUM(E171:G171)</f>
        <v>100</v>
      </c>
      <c r="E171" s="168">
        <f>('Pivot Table for Data Exchange'!$G$229)*100</f>
        <v>100</v>
      </c>
      <c r="F171" s="168">
        <f>('Pivot Table for Data Exchange'!$G$232)*100</f>
        <v>0</v>
      </c>
      <c r="G171" s="176">
        <f>('Pivot Table for Data Exchange'!$G$235)*100</f>
        <v>0</v>
      </c>
      <c r="H171" s="168">
        <f>('Pivot Table for Data Exchange'!$G$238)*100</f>
        <v>0</v>
      </c>
      <c r="I171" s="174" t="s">
        <v>624</v>
      </c>
      <c r="J171" s="168">
        <f>('Pivot Table for Data Exchange'!$G$241)*100</f>
        <v>0</v>
      </c>
      <c r="K171" s="168">
        <f>('Pivot Table for Data Exchange'!$G$244)*100</f>
        <v>0</v>
      </c>
      <c r="L171" s="169">
        <f>SUM(M171:O171)</f>
        <v>100</v>
      </c>
      <c r="M171" s="168">
        <f>('Pivot Table for Data Exchange'!$G$247)*100</f>
        <v>100</v>
      </c>
      <c r="N171" s="168">
        <f>('Pivot Table for Data Exchange'!$G$250)*100</f>
        <v>0</v>
      </c>
      <c r="O171" s="176">
        <f>('Pivot Table for Data Exchange'!$G$253)*100</f>
        <v>0</v>
      </c>
      <c r="P171" s="168">
        <f>('Pivot Table for Data Exchange'!$G$256)*100</f>
        <v>0</v>
      </c>
      <c r="Q171" s="173">
        <f t="shared" si="24"/>
        <v>100</v>
      </c>
      <c r="R171" s="173">
        <f t="shared" si="25"/>
        <v>100</v>
      </c>
      <c r="S171" s="222"/>
      <c r="T171" s="226"/>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row>
    <row r="172" spans="1:41" ht="15.75" customHeight="1">
      <c r="A172" s="139" t="s">
        <v>625</v>
      </c>
      <c r="B172" s="168">
        <f>('Pivot Table for Data Exchange'!$G$259)*100</f>
        <v>74.818888948220931</v>
      </c>
      <c r="C172" s="168">
        <f>('Pivot Table for Data Exchange'!$G$262)*100</f>
        <v>3.7379185133764085E-2</v>
      </c>
      <c r="D172" s="169">
        <f>SUM(E172:G172)</f>
        <v>25.143731866645307</v>
      </c>
      <c r="E172" s="168">
        <f>('Pivot Table for Data Exchange'!$G$265)*100</f>
        <v>25.143731866645307</v>
      </c>
      <c r="F172" s="168">
        <f>('Pivot Table for Data Exchange'!$G$268)*100</f>
        <v>0</v>
      </c>
      <c r="G172" s="176">
        <f>('Pivot Table for Data Exchange'!$G$271)*100</f>
        <v>0</v>
      </c>
      <c r="H172" s="168">
        <f>('Pivot Table for Data Exchange'!$G$274)*100</f>
        <v>0</v>
      </c>
      <c r="I172" s="174" t="s">
        <v>625</v>
      </c>
      <c r="J172" s="168">
        <f>('Pivot Table for Data Exchange'!$G$277)*100</f>
        <v>79.396186440677965</v>
      </c>
      <c r="K172" s="168">
        <f>('Pivot Table for Data Exchange'!$G$280)*100</f>
        <v>1.2711864406779663</v>
      </c>
      <c r="L172" s="169">
        <f>SUM(M172:O172)</f>
        <v>19.332627118644069</v>
      </c>
      <c r="M172" s="168">
        <f>('Pivot Table for Data Exchange'!$G$283)*100</f>
        <v>19.332627118644069</v>
      </c>
      <c r="N172" s="168">
        <f>('Pivot Table for Data Exchange'!$G$286)*100</f>
        <v>0</v>
      </c>
      <c r="O172" s="176">
        <f>('Pivot Table for Data Exchange'!$G$289)*100</f>
        <v>0</v>
      </c>
      <c r="P172" s="168">
        <f>('Pivot Table for Data Exchange'!$G$292)*100</f>
        <v>0</v>
      </c>
      <c r="Q172" s="173">
        <f t="shared" si="24"/>
        <v>100</v>
      </c>
      <c r="R172" s="173">
        <f t="shared" si="25"/>
        <v>100</v>
      </c>
      <c r="S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row>
    <row r="173" spans="1:41" ht="11.25" customHeight="1">
      <c r="B173" s="168"/>
      <c r="C173" s="168"/>
      <c r="D173" s="169"/>
      <c r="E173" s="168"/>
      <c r="F173" s="168"/>
      <c r="G173" s="176"/>
      <c r="H173" s="168"/>
      <c r="I173" s="174"/>
      <c r="J173" s="168"/>
      <c r="K173" s="168"/>
      <c r="L173" s="169"/>
      <c r="M173" s="168"/>
      <c r="N173" s="168"/>
      <c r="O173" s="176"/>
      <c r="P173" s="168"/>
      <c r="Q173" s="173">
        <f t="shared" si="24"/>
        <v>0</v>
      </c>
      <c r="R173" s="173">
        <f t="shared" si="25"/>
        <v>0</v>
      </c>
      <c r="S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row>
    <row r="174" spans="1:41" ht="15.75" customHeight="1">
      <c r="A174" s="139" t="s">
        <v>626</v>
      </c>
      <c r="B174" s="168">
        <f>('Pivot Table for Data Exchange'!$G$295)*100</f>
        <v>0</v>
      </c>
      <c r="C174" s="168">
        <f>('Pivot Table for Data Exchange'!$G$298)*100</f>
        <v>0</v>
      </c>
      <c r="D174" s="169">
        <f>SUM(E174:G174)</f>
        <v>0</v>
      </c>
      <c r="E174" s="168">
        <f>('Pivot Table for Data Exchange'!$G$301)*100</f>
        <v>0</v>
      </c>
      <c r="F174" s="168">
        <f>('Pivot Table for Data Exchange'!$G$304)*100</f>
        <v>0</v>
      </c>
      <c r="G174" s="176">
        <f>('Pivot Table for Data Exchange'!$G$307)*100</f>
        <v>0</v>
      </c>
      <c r="H174" s="168">
        <f>('Pivot Table for Data Exchange'!$G$310)*100</f>
        <v>0</v>
      </c>
      <c r="I174" s="174" t="s">
        <v>626</v>
      </c>
      <c r="J174" s="168">
        <f>('Pivot Table for Data Exchange'!$G$313)*100</f>
        <v>0</v>
      </c>
      <c r="K174" s="168">
        <f>('Pivot Table for Data Exchange'!$G$316)*100</f>
        <v>0</v>
      </c>
      <c r="L174" s="169">
        <f>SUM(M174:O174)</f>
        <v>0</v>
      </c>
      <c r="M174" s="168">
        <f>('Pivot Table for Data Exchange'!$G$319)*100</f>
        <v>0</v>
      </c>
      <c r="N174" s="168">
        <f>('Pivot Table for Data Exchange'!$G$322)*100</f>
        <v>0</v>
      </c>
      <c r="O174" s="176">
        <f>('Pivot Table for Data Exchange'!$G$325)*100</f>
        <v>0</v>
      </c>
      <c r="P174" s="168">
        <f>('Pivot Table for Data Exchange'!$G$328)*100</f>
        <v>0</v>
      </c>
      <c r="Q174" s="173">
        <f t="shared" si="24"/>
        <v>0</v>
      </c>
      <c r="R174" s="173">
        <f t="shared" si="25"/>
        <v>0</v>
      </c>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row>
    <row r="175" spans="1:41" ht="15.75" customHeight="1">
      <c r="A175" s="139" t="s">
        <v>627</v>
      </c>
      <c r="B175" s="168">
        <f>('Pivot Table for Data Exchange'!$G$331)*100</f>
        <v>47.171870736366117</v>
      </c>
      <c r="C175" s="168">
        <f>('Pivot Table for Data Exchange'!$G$334)*100</f>
        <v>0.31315375719538974</v>
      </c>
      <c r="D175" s="169">
        <f>SUM(E175:G175)</f>
        <v>52.514975506438496</v>
      </c>
      <c r="E175" s="168">
        <f>('Pivot Table for Data Exchange'!$G$337)*100</f>
        <v>50.584402084226667</v>
      </c>
      <c r="F175" s="168">
        <f>('Pivot Table for Data Exchange'!$G$340)*100</f>
        <v>7.1466625086084807E-3</v>
      </c>
      <c r="G175" s="176">
        <f>('Pivot Table for Data Exchange'!$G$343)*100</f>
        <v>1.9234267597032186</v>
      </c>
      <c r="H175" s="168">
        <f>('Pivot Table for Data Exchange'!$G$346)*100</f>
        <v>0</v>
      </c>
      <c r="I175" s="174" t="s">
        <v>627</v>
      </c>
      <c r="J175" s="168">
        <f>('Pivot Table for Data Exchange'!$G$349)*100</f>
        <v>16.336122047244096</v>
      </c>
      <c r="K175" s="168">
        <f>('Pivot Table for Data Exchange'!$G$352)*100</f>
        <v>1.6535433070866141</v>
      </c>
      <c r="L175" s="169">
        <f>SUM(M175:O175)</f>
        <v>82.010334645669275</v>
      </c>
      <c r="M175" s="168">
        <f>('Pivot Table for Data Exchange'!$G$355)*100</f>
        <v>79.424212598425186</v>
      </c>
      <c r="N175" s="168">
        <f>('Pivot Table for Data Exchange'!$G$358)*100</f>
        <v>7.3818897637795275E-3</v>
      </c>
      <c r="O175" s="176">
        <f>('Pivot Table for Data Exchange'!$G$361)*100</f>
        <v>2.5787401574803153</v>
      </c>
      <c r="P175" s="168">
        <f>('Pivot Table for Data Exchange'!$G$364)*100</f>
        <v>0</v>
      </c>
      <c r="Q175" s="173">
        <f t="shared" si="24"/>
        <v>100</v>
      </c>
      <c r="R175" s="173">
        <f t="shared" si="25"/>
        <v>99.999999999999986</v>
      </c>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row>
    <row r="176" spans="1:41" ht="15.75" customHeight="1">
      <c r="A176" s="139" t="s">
        <v>628</v>
      </c>
      <c r="B176" s="168">
        <f>('Pivot Table for Data Exchange'!$G$367)*100</f>
        <v>0</v>
      </c>
      <c r="C176" s="168">
        <f>('Pivot Table for Data Exchange'!$G$370)*100</f>
        <v>0</v>
      </c>
      <c r="D176" s="169">
        <f>SUM(E176:G176)</f>
        <v>0</v>
      </c>
      <c r="E176" s="168">
        <f>('Pivot Table for Data Exchange'!$G$373)*100</f>
        <v>0</v>
      </c>
      <c r="F176" s="168">
        <f>('Pivot Table for Data Exchange'!$G$376)*100</f>
        <v>0</v>
      </c>
      <c r="G176" s="176">
        <f>('Pivot Table for Data Exchange'!$G$379)*100</f>
        <v>0</v>
      </c>
      <c r="H176" s="168">
        <f>('Pivot Table for Data Exchange'!$G$382)*100</f>
        <v>0</v>
      </c>
      <c r="I176" s="174" t="s">
        <v>628</v>
      </c>
      <c r="J176" s="168">
        <f>('Pivot Table for Data Exchange'!$G$385)*100</f>
        <v>0</v>
      </c>
      <c r="K176" s="168">
        <f>('Pivot Table for Data Exchange'!$G$388)*100</f>
        <v>0</v>
      </c>
      <c r="L176" s="169">
        <f>SUM(M176:O176)</f>
        <v>0</v>
      </c>
      <c r="M176" s="168">
        <f>('Pivot Table for Data Exchange'!$G$391)*100</f>
        <v>0</v>
      </c>
      <c r="N176" s="168">
        <f>('Pivot Table for Data Exchange'!$G$394)*100</f>
        <v>0</v>
      </c>
      <c r="O176" s="176">
        <f>('Pivot Table for Data Exchange'!$G$397)*100</f>
        <v>0</v>
      </c>
      <c r="P176" s="168">
        <f>('Pivot Table for Data Exchange'!$G$400)*100</f>
        <v>0</v>
      </c>
      <c r="Q176" s="173">
        <f t="shared" si="24"/>
        <v>0</v>
      </c>
      <c r="R176" s="173">
        <f t="shared" si="25"/>
        <v>0</v>
      </c>
      <c r="S176" s="222"/>
      <c r="T176" s="226"/>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row>
    <row r="177" spans="1:41" ht="15.75" customHeight="1">
      <c r="A177" s="139" t="s">
        <v>629</v>
      </c>
      <c r="B177" s="168">
        <f>('Pivot Table for Data Exchange'!$G$403)*100</f>
        <v>77.135923628195528</v>
      </c>
      <c r="C177" s="168">
        <f>('Pivot Table for Data Exchange'!$G$406)*100</f>
        <v>3.1560862124291371</v>
      </c>
      <c r="D177" s="169">
        <f>SUM(E177:G177)</f>
        <v>19.707990159375335</v>
      </c>
      <c r="E177" s="168">
        <f>('Pivot Table for Data Exchange'!$G$409)*100</f>
        <v>19.707990159375335</v>
      </c>
      <c r="F177" s="168">
        <f>('Pivot Table for Data Exchange'!$G$412)*100</f>
        <v>0</v>
      </c>
      <c r="G177" s="176">
        <f>('Pivot Table for Data Exchange'!$G$415)*100</f>
        <v>0</v>
      </c>
      <c r="H177" s="168">
        <f>('Pivot Table for Data Exchange'!$G$418)*100</f>
        <v>0</v>
      </c>
      <c r="I177" s="174" t="s">
        <v>629</v>
      </c>
      <c r="J177" s="168">
        <f>('Pivot Table for Data Exchange'!$G$421)*100</f>
        <v>44.490644490644492</v>
      </c>
      <c r="K177" s="168">
        <f>('Pivot Table for Data Exchange'!$G$424)*100</f>
        <v>4.7470547470547473</v>
      </c>
      <c r="L177" s="169">
        <f>SUM(M177:O177)</f>
        <v>50.762300762300761</v>
      </c>
      <c r="M177" s="168">
        <f>('Pivot Table for Data Exchange'!$G$427)*100</f>
        <v>50.762300762300761</v>
      </c>
      <c r="N177" s="168">
        <f>('Pivot Table for Data Exchange'!$G$430)*100</f>
        <v>0</v>
      </c>
      <c r="O177" s="176">
        <f>('Pivot Table for Data Exchange'!$G$433)*100</f>
        <v>0</v>
      </c>
      <c r="P177" s="168">
        <f>('Pivot Table for Data Exchange'!$G$436)*100</f>
        <v>0</v>
      </c>
      <c r="Q177" s="173">
        <f t="shared" si="24"/>
        <v>100</v>
      </c>
      <c r="R177" s="173">
        <f t="shared" si="25"/>
        <v>100</v>
      </c>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row>
    <row r="178" spans="1:41" ht="11.25" customHeight="1">
      <c r="B178" s="168"/>
      <c r="C178" s="168"/>
      <c r="D178" s="169"/>
      <c r="E178" s="168"/>
      <c r="F178" s="168"/>
      <c r="G178" s="176"/>
      <c r="H178" s="168"/>
      <c r="I178" s="174"/>
      <c r="J178" s="168"/>
      <c r="K178" s="168"/>
      <c r="L178" s="169"/>
      <c r="M178" s="168"/>
      <c r="N178" s="168"/>
      <c r="O178" s="176"/>
      <c r="P178" s="168"/>
      <c r="Q178" s="173">
        <f t="shared" si="24"/>
        <v>0</v>
      </c>
      <c r="R178" s="173">
        <f t="shared" si="25"/>
        <v>0</v>
      </c>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row>
    <row r="179" spans="1:41" ht="15.75" customHeight="1">
      <c r="A179" s="139" t="s">
        <v>630</v>
      </c>
      <c r="B179" s="168">
        <f>('Pivot Table for Data Exchange'!$G$439)*100</f>
        <v>0</v>
      </c>
      <c r="C179" s="168">
        <f>('Pivot Table for Data Exchange'!$G$442)*100</f>
        <v>0</v>
      </c>
      <c r="D179" s="169">
        <f>SUM(E179:G179)</f>
        <v>0</v>
      </c>
      <c r="E179" s="168">
        <f>('Pivot Table for Data Exchange'!$G$445)*100</f>
        <v>0</v>
      </c>
      <c r="F179" s="168">
        <f>('Pivot Table for Data Exchange'!$G$448)*100</f>
        <v>0</v>
      </c>
      <c r="G179" s="175">
        <f>('Pivot Table for Data Exchange'!$G$451)*100</f>
        <v>0</v>
      </c>
      <c r="H179" s="168">
        <f>('Pivot Table for Data Exchange'!$G$454)*100</f>
        <v>0</v>
      </c>
      <c r="I179" s="174" t="s">
        <v>630</v>
      </c>
      <c r="J179" s="168">
        <f>('Pivot Table for Data Exchange'!$G$457)*100</f>
        <v>0</v>
      </c>
      <c r="K179" s="168">
        <f>('Pivot Table for Data Exchange'!$G$460)*100</f>
        <v>0</v>
      </c>
      <c r="L179" s="169">
        <f>SUM(M179:O179)</f>
        <v>0</v>
      </c>
      <c r="M179" s="168">
        <f>('Pivot Table for Data Exchange'!$G$463)*100</f>
        <v>0</v>
      </c>
      <c r="N179" s="180">
        <f>('Pivot Table for Data Exchange'!$G$466)*100</f>
        <v>0</v>
      </c>
      <c r="O179" s="176">
        <f>('Pivot Table for Data Exchange'!$G$469)*100</f>
        <v>0</v>
      </c>
      <c r="P179" s="168">
        <f>('Pivot Table for Data Exchange'!$G$472)*100</f>
        <v>0</v>
      </c>
      <c r="Q179" s="173">
        <f t="shared" si="24"/>
        <v>0</v>
      </c>
      <c r="R179" s="173">
        <f t="shared" si="25"/>
        <v>0</v>
      </c>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row>
    <row r="180" spans="1:41" ht="15.75" customHeight="1">
      <c r="A180" s="139" t="s">
        <v>631</v>
      </c>
      <c r="B180" s="168">
        <f>('Pivot Table for Data Exchange'!$G$475)*100</f>
        <v>44.75861750157943</v>
      </c>
      <c r="C180" s="168">
        <f>('Pivot Table for Data Exchange'!$G$478)*100</f>
        <v>8.9202890734548603</v>
      </c>
      <c r="D180" s="169">
        <f>SUM(E180:G180)</f>
        <v>46.321093424965717</v>
      </c>
      <c r="E180" s="168">
        <f>('Pivot Table for Data Exchange'!$G$481)*100</f>
        <v>39.730650107092778</v>
      </c>
      <c r="F180" s="168">
        <f>('Pivot Table for Data Exchange'!$G$484)*100</f>
        <v>3.3144829499052344</v>
      </c>
      <c r="G180" s="176">
        <f>('Pivot Table for Data Exchange'!$G$487)*100</f>
        <v>3.275960367967703</v>
      </c>
      <c r="H180" s="168">
        <f>('Pivot Table for Data Exchange'!$G$490)*100</f>
        <v>0</v>
      </c>
      <c r="I180" s="174" t="s">
        <v>631</v>
      </c>
      <c r="J180" s="168">
        <f>('Pivot Table for Data Exchange'!$G$493)*100</f>
        <v>34.028244788164095</v>
      </c>
      <c r="K180" s="168">
        <f>('Pivot Table for Data Exchange'!$G$496)*100</f>
        <v>5.8955391167899576</v>
      </c>
      <c r="L180" s="169">
        <f>SUM(M180:O180)</f>
        <v>60.076216095045957</v>
      </c>
      <c r="M180" s="168">
        <f>('Pivot Table for Data Exchange'!$G$499)*100</f>
        <v>53.665097511768664</v>
      </c>
      <c r="N180" s="168">
        <f>('Pivot Table for Data Exchange'!$G$502)*100</f>
        <v>2.0174848688634834</v>
      </c>
      <c r="O180" s="176">
        <f>('Pivot Table for Data Exchange'!$G$505)*100</f>
        <v>4.3936337144138085</v>
      </c>
      <c r="P180" s="168">
        <f>('Pivot Table for Data Exchange'!$G$508)*100</f>
        <v>0</v>
      </c>
      <c r="Q180" s="173">
        <f t="shared" si="24"/>
        <v>100</v>
      </c>
      <c r="R180" s="173">
        <f t="shared" si="25"/>
        <v>100</v>
      </c>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row>
    <row r="181" spans="1:41" ht="15.75" customHeight="1">
      <c r="A181" s="139" t="s">
        <v>632</v>
      </c>
      <c r="B181" s="168">
        <f>('Pivot Table for Data Exchange'!$G$511)*100</f>
        <v>66.08865474202338</v>
      </c>
      <c r="C181" s="168">
        <f>('Pivot Table for Data Exchange'!$G$514)*100</f>
        <v>0.42794673464006328</v>
      </c>
      <c r="D181" s="169">
        <f>SUM(E181:G181)</f>
        <v>33.483398523336561</v>
      </c>
      <c r="E181" s="168">
        <f>('Pivot Table for Data Exchange'!$G$517)*100</f>
        <v>21.105080425419708</v>
      </c>
      <c r="F181" s="168">
        <f>('Pivot Table for Data Exchange'!$G$520)*100</f>
        <v>12.37831809791685</v>
      </c>
      <c r="G181" s="176">
        <f>('Pivot Table for Data Exchange'!$G$523)*100</f>
        <v>0</v>
      </c>
      <c r="H181" s="168">
        <f>('Pivot Table for Data Exchange'!$G$526)*100</f>
        <v>0</v>
      </c>
      <c r="I181" s="174" t="s">
        <v>632</v>
      </c>
      <c r="J181" s="168">
        <f>('Pivot Table for Data Exchange'!$G$529)*100</f>
        <v>23.287525111557542</v>
      </c>
      <c r="K181" s="168">
        <f>('Pivot Table for Data Exchange'!$G$532)*100</f>
        <v>3.5333961492648758</v>
      </c>
      <c r="L181" s="169">
        <f>SUM(M181:O181)</f>
        <v>73.179078739177584</v>
      </c>
      <c r="M181" s="168">
        <f>('Pivot Table for Data Exchange'!$G$535)*100</f>
        <v>65.952283596152824</v>
      </c>
      <c r="N181" s="168">
        <f>('Pivot Table for Data Exchange'!$G$538)*100</f>
        <v>7.2267951430247654</v>
      </c>
      <c r="O181" s="176">
        <f>('Pivot Table for Data Exchange'!$G$541)*100</f>
        <v>0</v>
      </c>
      <c r="P181" s="168">
        <f>('Pivot Table for Data Exchange'!$G$544)*100</f>
        <v>0</v>
      </c>
      <c r="Q181" s="173">
        <f t="shared" si="24"/>
        <v>100</v>
      </c>
      <c r="R181" s="173">
        <f t="shared" si="25"/>
        <v>100</v>
      </c>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row>
    <row r="182" spans="1:41" ht="15.75" customHeight="1">
      <c r="A182" s="145" t="s">
        <v>633</v>
      </c>
      <c r="B182" s="181">
        <f>('Pivot Table for Data Exchange'!$G$547)*100</f>
        <v>60.626087465091459</v>
      </c>
      <c r="C182" s="181">
        <f>('Pivot Table for Data Exchange'!$G$550)*100</f>
        <v>2.2092904244586435</v>
      </c>
      <c r="D182" s="182">
        <f>SUM(E182:G182)</f>
        <v>37.164622110449898</v>
      </c>
      <c r="E182" s="181">
        <f>('Pivot Table for Data Exchange'!$G$553)*100</f>
        <v>36.947129092158555</v>
      </c>
      <c r="F182" s="181">
        <f>('Pivot Table for Data Exchange'!$G$556)*100</f>
        <v>0.2174930182913456</v>
      </c>
      <c r="G182" s="183">
        <f>('Pivot Table for Data Exchange'!$G$559)*100</f>
        <v>0</v>
      </c>
      <c r="H182" s="181">
        <f>('Pivot Table for Data Exchange'!$G$562)*100</f>
        <v>0</v>
      </c>
      <c r="I182" s="184" t="s">
        <v>633</v>
      </c>
      <c r="J182" s="181">
        <f>('Pivot Table for Data Exchange'!$G$565)*100</f>
        <v>28.369475706835022</v>
      </c>
      <c r="K182" s="181">
        <f>('Pivot Table for Data Exchange'!$G$568)*100</f>
        <v>3.5616250343123803</v>
      </c>
      <c r="L182" s="182">
        <f>SUM(M182:O182)</f>
        <v>68.068899258852582</v>
      </c>
      <c r="M182" s="181">
        <f>('Pivot Table for Data Exchange'!$G$571)*100</f>
        <v>68.068899258852582</v>
      </c>
      <c r="N182" s="181">
        <f>('Pivot Table for Data Exchange'!$G$574)*100</f>
        <v>0</v>
      </c>
      <c r="O182" s="183">
        <f>('Pivot Table for Data Exchange'!$G$577)*100</f>
        <v>0</v>
      </c>
      <c r="P182" s="181">
        <f>('Pivot Table for Data Exchange'!$G$580)*100</f>
        <v>0</v>
      </c>
      <c r="Q182" s="173">
        <f t="shared" si="24"/>
        <v>100</v>
      </c>
      <c r="R182" s="173">
        <f t="shared" si="25"/>
        <v>99.999999999999986</v>
      </c>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row>
    <row r="183" spans="1:41" s="212" customFormat="1" ht="13.5" customHeight="1">
      <c r="A183" s="187" t="s">
        <v>658</v>
      </c>
      <c r="B183" s="188"/>
      <c r="C183" s="188"/>
      <c r="D183" s="189"/>
      <c r="E183" s="188"/>
      <c r="F183" s="189"/>
      <c r="G183" s="189"/>
      <c r="H183" s="188"/>
      <c r="I183" s="187" t="s">
        <v>658</v>
      </c>
      <c r="J183" s="188"/>
      <c r="K183" s="188"/>
      <c r="L183" s="189"/>
      <c r="M183" s="188"/>
      <c r="N183" s="189"/>
      <c r="O183" s="189"/>
      <c r="P183" s="188"/>
      <c r="Q183" s="173">
        <f t="shared" si="24"/>
        <v>0</v>
      </c>
      <c r="R183" s="173">
        <f t="shared" si="25"/>
        <v>0</v>
      </c>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row>
    <row r="184" spans="1:41" s="212" customFormat="1" ht="11.25" customHeight="1">
      <c r="A184" s="191"/>
      <c r="B184" s="200"/>
      <c r="C184" s="200"/>
      <c r="D184" s="200"/>
      <c r="E184" s="200"/>
      <c r="F184" s="200"/>
      <c r="G184" s="200"/>
      <c r="H184" s="200"/>
      <c r="I184" s="191"/>
      <c r="J184" s="200"/>
      <c r="K184" s="200"/>
      <c r="L184" s="200"/>
      <c r="M184" s="200"/>
      <c r="N184" s="200"/>
      <c r="O184" s="200"/>
      <c r="P184" s="200"/>
      <c r="Q184" s="173">
        <f t="shared" si="24"/>
        <v>0</v>
      </c>
      <c r="R184" s="173">
        <f t="shared" si="25"/>
        <v>0</v>
      </c>
      <c r="S184" s="225"/>
      <c r="T184" s="225"/>
      <c r="U184" s="225"/>
      <c r="V184" s="225"/>
      <c r="W184" s="225"/>
      <c r="X184" s="225"/>
      <c r="Y184" s="225"/>
      <c r="Z184" s="225"/>
      <c r="AA184" s="225"/>
      <c r="AB184" s="225"/>
      <c r="AC184" s="225"/>
      <c r="AD184" s="225"/>
      <c r="AE184" s="225"/>
      <c r="AF184" s="225"/>
      <c r="AG184" s="225"/>
      <c r="AH184" s="225"/>
      <c r="AI184" s="225"/>
      <c r="AJ184" s="225"/>
      <c r="AK184" s="225"/>
      <c r="AL184" s="225"/>
      <c r="AM184" s="225"/>
      <c r="AN184" s="225"/>
      <c r="AO184" s="225"/>
    </row>
    <row r="185" spans="1:41" s="212" customFormat="1" ht="13.5" customHeight="1">
      <c r="A185" s="197"/>
      <c r="B185" s="198"/>
      <c r="C185" s="186"/>
      <c r="D185" s="186"/>
      <c r="E185" s="186"/>
      <c r="F185" s="186"/>
      <c r="G185" s="186"/>
      <c r="H185" s="192" t="s">
        <v>923</v>
      </c>
      <c r="I185" s="197"/>
      <c r="J185" s="186"/>
      <c r="K185" s="186"/>
      <c r="L185" s="186"/>
      <c r="M185" s="186"/>
      <c r="N185" s="186"/>
      <c r="O185" s="186"/>
      <c r="P185" s="192" t="s">
        <v>923</v>
      </c>
      <c r="Q185" s="173">
        <f t="shared" si="24"/>
        <v>0</v>
      </c>
      <c r="R185" s="173">
        <f t="shared" si="25"/>
        <v>0</v>
      </c>
    </row>
    <row r="186" spans="1:41" ht="18">
      <c r="A186" s="134" t="s">
        <v>669</v>
      </c>
      <c r="B186" s="135"/>
      <c r="C186" s="135"/>
      <c r="D186" s="135"/>
      <c r="E186" s="135"/>
      <c r="F186" s="135"/>
      <c r="G186" s="135"/>
      <c r="H186" s="135"/>
      <c r="I186" s="134" t="s">
        <v>670</v>
      </c>
      <c r="J186" s="136"/>
      <c r="K186" s="136"/>
      <c r="L186" s="135"/>
      <c r="M186" s="136"/>
      <c r="N186" s="136"/>
      <c r="O186" s="136"/>
      <c r="P186" s="136"/>
      <c r="Q186" s="173">
        <f t="shared" si="24"/>
        <v>0</v>
      </c>
      <c r="R186" s="173">
        <f t="shared" si="25"/>
        <v>0</v>
      </c>
    </row>
    <row r="187" spans="1:41" ht="13">
      <c r="A187" s="140"/>
      <c r="B187" s="136"/>
      <c r="C187" s="136"/>
      <c r="D187" s="136"/>
      <c r="E187" s="136"/>
      <c r="F187" s="136"/>
      <c r="G187" s="136"/>
      <c r="H187" s="136"/>
      <c r="I187" s="140"/>
      <c r="J187" s="136"/>
      <c r="K187" s="136"/>
      <c r="L187" s="136"/>
      <c r="M187" s="136"/>
      <c r="N187" s="136"/>
      <c r="O187" s="136"/>
      <c r="P187" s="136"/>
      <c r="Q187" s="173">
        <f t="shared" si="24"/>
        <v>0</v>
      </c>
      <c r="R187" s="173">
        <f t="shared" si="25"/>
        <v>0</v>
      </c>
    </row>
    <row r="188" spans="1:41" ht="15.5">
      <c r="A188" s="142" t="s">
        <v>639</v>
      </c>
      <c r="B188" s="136"/>
      <c r="C188" s="136"/>
      <c r="D188" s="136"/>
      <c r="E188" s="136"/>
      <c r="F188" s="136"/>
      <c r="G188" s="136"/>
      <c r="H188" s="136"/>
      <c r="I188" s="142" t="s">
        <v>640</v>
      </c>
      <c r="J188" s="136"/>
      <c r="K188" s="136"/>
      <c r="L188" s="136"/>
      <c r="M188" s="136"/>
      <c r="N188" s="136"/>
      <c r="O188" s="136"/>
      <c r="P188" s="136"/>
      <c r="Q188" s="173">
        <f t="shared" si="24"/>
        <v>0</v>
      </c>
      <c r="R188" s="173">
        <f t="shared" si="25"/>
        <v>0</v>
      </c>
    </row>
    <row r="189" spans="1:41" ht="15.5">
      <c r="A189" s="142" t="s">
        <v>887</v>
      </c>
      <c r="B189" s="136"/>
      <c r="C189" s="136"/>
      <c r="D189" s="136"/>
      <c r="E189" s="136"/>
      <c r="F189" s="136"/>
      <c r="G189" s="136"/>
      <c r="H189" s="136"/>
      <c r="I189" s="142" t="s">
        <v>887</v>
      </c>
      <c r="J189" s="136"/>
      <c r="K189" s="136"/>
      <c r="L189" s="136"/>
      <c r="M189" s="136"/>
      <c r="N189" s="136"/>
      <c r="O189" s="136"/>
      <c r="P189" s="136"/>
      <c r="Q189" s="173">
        <f t="shared" si="24"/>
        <v>0</v>
      </c>
      <c r="R189" s="173">
        <f t="shared" si="25"/>
        <v>0</v>
      </c>
    </row>
    <row r="190" spans="1:41">
      <c r="A190" s="145"/>
      <c r="B190" s="146"/>
      <c r="C190" s="146"/>
      <c r="D190" s="146"/>
      <c r="E190" s="146"/>
      <c r="F190" s="146"/>
      <c r="G190" s="146"/>
      <c r="H190" s="146"/>
      <c r="I190" s="147"/>
      <c r="L190" s="148"/>
      <c r="P190" s="145"/>
      <c r="Q190" s="173">
        <f t="shared" si="24"/>
        <v>0</v>
      </c>
      <c r="R190" s="173">
        <f t="shared" si="25"/>
        <v>0</v>
      </c>
    </row>
    <row r="191" spans="1:41" s="166" customFormat="1">
      <c r="A191" s="150"/>
      <c r="B191" s="151" t="s">
        <v>641</v>
      </c>
      <c r="C191" s="151"/>
      <c r="D191" s="151"/>
      <c r="E191" s="151"/>
      <c r="F191" s="151"/>
      <c r="G191" s="151"/>
      <c r="H191" s="152"/>
      <c r="I191" s="150"/>
      <c r="J191" s="151" t="s">
        <v>641</v>
      </c>
      <c r="K191" s="151"/>
      <c r="L191" s="151"/>
      <c r="M191" s="151"/>
      <c r="N191" s="151"/>
      <c r="O191" s="151"/>
      <c r="P191" s="152"/>
      <c r="Q191" s="173">
        <f t="shared" si="24"/>
        <v>0</v>
      </c>
      <c r="R191" s="173">
        <f t="shared" si="25"/>
        <v>0</v>
      </c>
    </row>
    <row r="192" spans="1:41" s="166" customFormat="1">
      <c r="A192" s="150"/>
      <c r="B192" s="151" t="s">
        <v>642</v>
      </c>
      <c r="C192" s="151"/>
      <c r="D192" s="487" t="s">
        <v>643</v>
      </c>
      <c r="E192" s="485"/>
      <c r="F192" s="485"/>
      <c r="G192" s="485"/>
      <c r="H192" s="158" t="s">
        <v>533</v>
      </c>
      <c r="I192" s="150"/>
      <c r="J192" s="151" t="s">
        <v>642</v>
      </c>
      <c r="K192" s="151"/>
      <c r="L192" s="487" t="s">
        <v>643</v>
      </c>
      <c r="M192" s="485"/>
      <c r="N192" s="485"/>
      <c r="O192" s="485"/>
      <c r="P192" s="158" t="s">
        <v>533</v>
      </c>
      <c r="Q192" s="173">
        <f t="shared" si="24"/>
        <v>0</v>
      </c>
      <c r="R192" s="173">
        <f t="shared" si="25"/>
        <v>0</v>
      </c>
    </row>
    <row r="193" spans="1:41" s="166" customFormat="1" ht="40.5" customHeight="1">
      <c r="A193" s="150"/>
      <c r="B193" s="159" t="s">
        <v>644</v>
      </c>
      <c r="C193" s="160" t="s">
        <v>645</v>
      </c>
      <c r="D193" s="161" t="s">
        <v>646</v>
      </c>
      <c r="E193" s="162" t="s">
        <v>8</v>
      </c>
      <c r="F193" s="159" t="s">
        <v>647</v>
      </c>
      <c r="G193" s="163" t="s">
        <v>656</v>
      </c>
      <c r="H193" s="164" t="s">
        <v>649</v>
      </c>
      <c r="I193" s="150"/>
      <c r="J193" s="159" t="s">
        <v>644</v>
      </c>
      <c r="K193" s="160" t="s">
        <v>645</v>
      </c>
      <c r="L193" s="161" t="s">
        <v>646</v>
      </c>
      <c r="M193" s="162" t="s">
        <v>8</v>
      </c>
      <c r="N193" s="159" t="s">
        <v>647</v>
      </c>
      <c r="O193" s="163" t="s">
        <v>656</v>
      </c>
      <c r="P193" s="164" t="s">
        <v>649</v>
      </c>
      <c r="Q193" s="173">
        <f t="shared" si="24"/>
        <v>0</v>
      </c>
      <c r="R193" s="173">
        <f t="shared" si="25"/>
        <v>0</v>
      </c>
      <c r="T193" s="165"/>
    </row>
    <row r="194" spans="1:41" ht="15.75" customHeight="1">
      <c r="A194" s="194" t="s">
        <v>618</v>
      </c>
      <c r="B194" s="221">
        <f>('Pivot Table for Data Exchange'!$H$7)*100</f>
        <v>11.360666574428507</v>
      </c>
      <c r="C194" s="168">
        <f>('Pivot Table for Data Exchange'!$H$10)*100</f>
        <v>1.6157050838598597</v>
      </c>
      <c r="D194" s="169">
        <f>SUM(E194:G194)</f>
        <v>87.023628341711628</v>
      </c>
      <c r="E194" s="168">
        <f>('Pivot Table for Data Exchange'!$H$13)*100</f>
        <v>87.023628341711628</v>
      </c>
      <c r="F194" s="168">
        <f>('Pivot Table for Data Exchange'!$H$16)*100</f>
        <v>0</v>
      </c>
      <c r="G194" s="172">
        <f>('Pivot Table for Data Exchange'!$H$19)*100</f>
        <v>0</v>
      </c>
      <c r="H194" s="168">
        <f>('Pivot Table for Data Exchange'!$H$22)*100</f>
        <v>0</v>
      </c>
      <c r="I194" s="171" t="s">
        <v>618</v>
      </c>
      <c r="J194" s="168">
        <f>('Pivot Table for Data Exchange'!$H$25)*100</f>
        <v>2.112676056338028</v>
      </c>
      <c r="K194" s="168">
        <f>('Pivot Table for Data Exchange'!$H$28)*100</f>
        <v>0</v>
      </c>
      <c r="L194" s="169">
        <f>SUM(M194:O194)</f>
        <v>97.887323943661968</v>
      </c>
      <c r="M194" s="168">
        <f>('Pivot Table for Data Exchange'!$H$31)*100</f>
        <v>97.887323943661968</v>
      </c>
      <c r="N194" s="168">
        <f>('Pivot Table for Data Exchange'!$H$34)*100</f>
        <v>0</v>
      </c>
      <c r="O194" s="172">
        <f>('Pivot Table for Data Exchange'!$H$37)*100</f>
        <v>0</v>
      </c>
      <c r="P194" s="168">
        <f>('Pivot Table for Data Exchange'!$H$40)*100</f>
        <v>0</v>
      </c>
      <c r="Q194" s="173">
        <f t="shared" si="24"/>
        <v>100</v>
      </c>
      <c r="R194" s="173">
        <f t="shared" si="25"/>
        <v>100</v>
      </c>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row>
    <row r="195" spans="1:41" ht="15.75" customHeight="1">
      <c r="A195" s="139" t="s">
        <v>619</v>
      </c>
      <c r="B195" s="168">
        <f>('Pivot Table for Data Exchange'!$H$43)*100</f>
        <v>63.491293456915088</v>
      </c>
      <c r="C195" s="168">
        <f>('Pivot Table for Data Exchange'!$H$46)*100</f>
        <v>7.4097742782641962</v>
      </c>
      <c r="D195" s="169">
        <f t="shared" ref="D195:D197" si="30">SUM(E195:G195)</f>
        <v>29.098932264820718</v>
      </c>
      <c r="E195" s="168">
        <f>('Pivot Table for Data Exchange'!$H$49)*100</f>
        <v>29.09333470162656</v>
      </c>
      <c r="F195" s="168">
        <f>('Pivot Table for Data Exchange'!$H$52)*100</f>
        <v>5.5975631941561441E-3</v>
      </c>
      <c r="G195" s="176">
        <f>('Pivot Table for Data Exchange'!$H$55)*100</f>
        <v>0</v>
      </c>
      <c r="H195" s="168">
        <f>('Pivot Table for Data Exchange'!$H$58)*100</f>
        <v>0</v>
      </c>
      <c r="I195" s="174" t="s">
        <v>619</v>
      </c>
      <c r="J195" s="168">
        <f>('Pivot Table for Data Exchange'!$H$61)*100</f>
        <v>44.675925925925924</v>
      </c>
      <c r="K195" s="168">
        <f>('Pivot Table for Data Exchange'!$H$64)*100</f>
        <v>0</v>
      </c>
      <c r="L195" s="169">
        <f t="shared" ref="L195:L197" si="31">SUM(M195:O195)</f>
        <v>55.324074074074069</v>
      </c>
      <c r="M195" s="168">
        <f>('Pivot Table for Data Exchange'!$H$67)*100</f>
        <v>55.324074074074069</v>
      </c>
      <c r="N195" s="168">
        <f>('Pivot Table for Data Exchange'!$H$70)*100</f>
        <v>0</v>
      </c>
      <c r="O195" s="176">
        <f>('Pivot Table for Data Exchange'!$H$73)*100</f>
        <v>0</v>
      </c>
      <c r="P195" s="168">
        <f>('Pivot Table for Data Exchange'!$H$76)*100</f>
        <v>0</v>
      </c>
      <c r="Q195" s="173">
        <f t="shared" si="24"/>
        <v>100</v>
      </c>
      <c r="R195" s="173">
        <f t="shared" si="25"/>
        <v>100</v>
      </c>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row>
    <row r="196" spans="1:41" ht="15.75" customHeight="1">
      <c r="A196" s="139" t="s">
        <v>620</v>
      </c>
      <c r="B196" s="168">
        <f>('Pivot Table for Data Exchange'!$H$79)*100</f>
        <v>0</v>
      </c>
      <c r="C196" s="168">
        <f>('Pivot Table for Data Exchange'!$H$82)*100</f>
        <v>0</v>
      </c>
      <c r="D196" s="169">
        <f t="shared" si="30"/>
        <v>0</v>
      </c>
      <c r="E196" s="168">
        <f>('Pivot Table for Data Exchange'!$H$85)*100</f>
        <v>0</v>
      </c>
      <c r="F196" s="168">
        <f>('Pivot Table for Data Exchange'!$H$88)*100</f>
        <v>0</v>
      </c>
      <c r="G196" s="176">
        <f>('Pivot Table for Data Exchange'!$H$91)*100</f>
        <v>0</v>
      </c>
      <c r="H196" s="168">
        <f>('Pivot Table for Data Exchange'!$H$94)*100</f>
        <v>0</v>
      </c>
      <c r="I196" s="174" t="s">
        <v>620</v>
      </c>
      <c r="J196" s="168">
        <f>('Pivot Table for Data Exchange'!$H$97)*100</f>
        <v>0</v>
      </c>
      <c r="K196" s="168">
        <f>('Pivot Table for Data Exchange'!$H$100)*100</f>
        <v>0</v>
      </c>
      <c r="L196" s="169">
        <f t="shared" si="31"/>
        <v>0</v>
      </c>
      <c r="M196" s="168">
        <f>('Pivot Table for Data Exchange'!$H$103)*100</f>
        <v>0</v>
      </c>
      <c r="N196" s="168">
        <f>('Pivot Table for Data Exchange'!$H$106)*100</f>
        <v>0</v>
      </c>
      <c r="O196" s="176">
        <f>('Pivot Table for Data Exchange'!$H$109)*100</f>
        <v>0</v>
      </c>
      <c r="P196" s="168">
        <f>('Pivot Table for Data Exchange'!$H$112)*100</f>
        <v>0</v>
      </c>
      <c r="Q196" s="173">
        <f t="shared" si="24"/>
        <v>0</v>
      </c>
      <c r="R196" s="173">
        <f t="shared" si="25"/>
        <v>0</v>
      </c>
      <c r="S196" s="222"/>
      <c r="T196" s="226"/>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row>
    <row r="197" spans="1:41" ht="15.75" customHeight="1">
      <c r="A197" s="139" t="s">
        <v>657</v>
      </c>
      <c r="B197" s="168">
        <f>('Pivot Table for Data Exchange'!$H$115)*100</f>
        <v>0</v>
      </c>
      <c r="C197" s="168">
        <f>('Pivot Table for Data Exchange'!$H$118)*100</f>
        <v>0</v>
      </c>
      <c r="D197" s="169">
        <f t="shared" si="30"/>
        <v>0</v>
      </c>
      <c r="E197" s="168">
        <f>('Pivot Table for Data Exchange'!$H$121)*100</f>
        <v>0</v>
      </c>
      <c r="F197" s="168">
        <f>('Pivot Table for Data Exchange'!$H$124)*100</f>
        <v>0</v>
      </c>
      <c r="G197" s="176">
        <f>('Pivot Table for Data Exchange'!$H$127)*100</f>
        <v>0</v>
      </c>
      <c r="H197" s="168">
        <f>('Pivot Table for Data Exchange'!$H$130)*100</f>
        <v>0</v>
      </c>
      <c r="I197" s="174" t="s">
        <v>621</v>
      </c>
      <c r="J197" s="168">
        <f>('Pivot Table for Data Exchange'!$H$133)*100</f>
        <v>0</v>
      </c>
      <c r="K197" s="168">
        <f>('Pivot Table for Data Exchange'!$H$136)*100</f>
        <v>0</v>
      </c>
      <c r="L197" s="169">
        <f t="shared" si="31"/>
        <v>0</v>
      </c>
      <c r="M197" s="168">
        <f>('Pivot Table for Data Exchange'!$H$139)*100</f>
        <v>0</v>
      </c>
      <c r="N197" s="168">
        <f>('Pivot Table for Data Exchange'!$H$142)*100</f>
        <v>0</v>
      </c>
      <c r="O197" s="176">
        <f>('Pivot Table for Data Exchange'!$H$145)*100</f>
        <v>0</v>
      </c>
      <c r="P197" s="168">
        <f>('Pivot Table for Data Exchange'!$H$148)*100</f>
        <v>0</v>
      </c>
      <c r="Q197" s="173">
        <f t="shared" si="24"/>
        <v>0</v>
      </c>
      <c r="R197" s="173">
        <f t="shared" si="25"/>
        <v>0</v>
      </c>
      <c r="S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row>
    <row r="198" spans="1:41" ht="15.75" customHeight="1">
      <c r="B198" s="168"/>
      <c r="C198" s="168"/>
      <c r="D198" s="169"/>
      <c r="E198" s="168"/>
      <c r="F198" s="168"/>
      <c r="G198" s="176"/>
      <c r="H198" s="168"/>
      <c r="I198" s="174"/>
      <c r="J198" s="168"/>
      <c r="K198" s="168"/>
      <c r="L198" s="169"/>
      <c r="M198" s="168"/>
      <c r="N198" s="168"/>
      <c r="O198" s="176"/>
      <c r="P198" s="168"/>
      <c r="Q198" s="173">
        <f t="shared" si="24"/>
        <v>0</v>
      </c>
      <c r="R198" s="173">
        <f t="shared" si="25"/>
        <v>0</v>
      </c>
      <c r="S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row>
    <row r="199" spans="1:41" ht="15.75" customHeight="1">
      <c r="A199" s="139" t="s">
        <v>622</v>
      </c>
      <c r="B199" s="168">
        <f>('Pivot Table for Data Exchange'!$H$151)*100</f>
        <v>61.067902502329098</v>
      </c>
      <c r="C199" s="168">
        <f>('Pivot Table for Data Exchange'!$H$154)*100</f>
        <v>1.8287510380483798</v>
      </c>
      <c r="D199" s="169">
        <f t="shared" ref="D199:D200" si="32">SUM(E199:G199)</f>
        <v>37.103346459622522</v>
      </c>
      <c r="E199" s="168">
        <f>('Pivot Table for Data Exchange'!$H$157)*100</f>
        <v>37.103346459622522</v>
      </c>
      <c r="F199" s="168">
        <f>('Pivot Table for Data Exchange'!$H$160)*100</f>
        <v>0</v>
      </c>
      <c r="G199" s="176">
        <f>('Pivot Table for Data Exchange'!$H$163)*100</f>
        <v>0</v>
      </c>
      <c r="H199" s="168">
        <f>('Pivot Table for Data Exchange'!$H$166)*100</f>
        <v>0</v>
      </c>
      <c r="I199" s="174" t="s">
        <v>622</v>
      </c>
      <c r="J199" s="168">
        <f>('Pivot Table for Data Exchange'!$H$169)*100</f>
        <v>0</v>
      </c>
      <c r="K199" s="168">
        <f>('Pivot Table for Data Exchange'!$H$172)*100</f>
        <v>0</v>
      </c>
      <c r="L199" s="169">
        <f t="shared" ref="L199:L200" si="33">SUM(M199:O199)</f>
        <v>0</v>
      </c>
      <c r="M199" s="168">
        <f>('Pivot Table for Data Exchange'!$H$175)*100</f>
        <v>0</v>
      </c>
      <c r="N199" s="168">
        <f>('Pivot Table for Data Exchange'!$H$178)*100</f>
        <v>0</v>
      </c>
      <c r="O199" s="176">
        <f>('Pivot Table for Data Exchange'!$H$181)*100</f>
        <v>0</v>
      </c>
      <c r="P199" s="168">
        <f>('Pivot Table for Data Exchange'!$H$184)*100</f>
        <v>0</v>
      </c>
      <c r="Q199" s="173">
        <f t="shared" si="24"/>
        <v>100</v>
      </c>
      <c r="R199" s="173">
        <f t="shared" si="25"/>
        <v>0</v>
      </c>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row>
    <row r="200" spans="1:41" ht="15.75" customHeight="1">
      <c r="A200" s="139" t="s">
        <v>623</v>
      </c>
      <c r="B200" s="168">
        <f>('Pivot Table for Data Exchange'!$H$187)*100</f>
        <v>0</v>
      </c>
      <c r="C200" s="168">
        <f>('Pivot Table for Data Exchange'!$H$190)*100</f>
        <v>0</v>
      </c>
      <c r="D200" s="169">
        <f t="shared" si="32"/>
        <v>0</v>
      </c>
      <c r="E200" s="168">
        <f>('Pivot Table for Data Exchange'!$H$193)*100</f>
        <v>0</v>
      </c>
      <c r="F200" s="168">
        <f>('Pivot Table for Data Exchange'!$H$196)*100</f>
        <v>0</v>
      </c>
      <c r="G200" s="176">
        <f>('Pivot Table for Data Exchange'!$H$199)*100</f>
        <v>0</v>
      </c>
      <c r="H200" s="168">
        <f>('Pivot Table for Data Exchange'!$H$202)*100</f>
        <v>0</v>
      </c>
      <c r="I200" s="174" t="s">
        <v>623</v>
      </c>
      <c r="J200" s="168">
        <f>('Pivot Table for Data Exchange'!$H$205)*100</f>
        <v>0</v>
      </c>
      <c r="K200" s="168">
        <f>('Pivot Table for Data Exchange'!$H$208)*100</f>
        <v>0</v>
      </c>
      <c r="L200" s="169">
        <f t="shared" si="33"/>
        <v>0</v>
      </c>
      <c r="M200" s="168">
        <f>('Pivot Table for Data Exchange'!$H$211)*100</f>
        <v>0</v>
      </c>
      <c r="N200" s="168">
        <f>('Pivot Table for Data Exchange'!$H$214)*100</f>
        <v>0</v>
      </c>
      <c r="O200" s="176">
        <f>('Pivot Table for Data Exchange'!$H$217)*100</f>
        <v>0</v>
      </c>
      <c r="P200" s="168">
        <f>('Pivot Table for Data Exchange'!$H$220)*100</f>
        <v>0</v>
      </c>
      <c r="Q200" s="173">
        <f t="shared" si="24"/>
        <v>0</v>
      </c>
      <c r="R200" s="173">
        <f t="shared" si="25"/>
        <v>0</v>
      </c>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row>
    <row r="201" spans="1:41" ht="15.75" customHeight="1">
      <c r="A201" s="139" t="s">
        <v>624</v>
      </c>
      <c r="B201" s="168">
        <f>('Pivot Table for Data Exchange'!$H$223)*100</f>
        <v>51.570881226053643</v>
      </c>
      <c r="C201" s="168">
        <f>('Pivot Table for Data Exchange'!$H$226)*100</f>
        <v>0</v>
      </c>
      <c r="D201" s="169">
        <f>SUM(E201:G201)</f>
        <v>48.429118773946364</v>
      </c>
      <c r="E201" s="168">
        <f>('Pivot Table for Data Exchange'!$H$229)*100</f>
        <v>48.429118773946364</v>
      </c>
      <c r="F201" s="168">
        <f>('Pivot Table for Data Exchange'!$H$232)*100</f>
        <v>0</v>
      </c>
      <c r="G201" s="176">
        <f>('Pivot Table for Data Exchange'!$H$235)*100</f>
        <v>0</v>
      </c>
      <c r="H201" s="168">
        <f>('Pivot Table for Data Exchange'!$H$238)*100</f>
        <v>0</v>
      </c>
      <c r="I201" s="174" t="s">
        <v>624</v>
      </c>
      <c r="J201" s="168">
        <f>('Pivot Table for Data Exchange'!$H$241)*100</f>
        <v>0</v>
      </c>
      <c r="K201" s="168">
        <f>('Pivot Table for Data Exchange'!$H$244)*100</f>
        <v>0</v>
      </c>
      <c r="L201" s="169">
        <f>SUM(M201:O201)</f>
        <v>0</v>
      </c>
      <c r="M201" s="168">
        <f>('Pivot Table for Data Exchange'!$H$247)*100</f>
        <v>0</v>
      </c>
      <c r="N201" s="168">
        <f>('Pivot Table for Data Exchange'!$H$250)*100</f>
        <v>0</v>
      </c>
      <c r="O201" s="176">
        <f>('Pivot Table for Data Exchange'!$H$253)*100</f>
        <v>0</v>
      </c>
      <c r="P201" s="168">
        <f>('Pivot Table for Data Exchange'!$H$256)*100</f>
        <v>0</v>
      </c>
      <c r="Q201" s="173">
        <f t="shared" si="24"/>
        <v>100</v>
      </c>
      <c r="R201" s="173">
        <f t="shared" si="25"/>
        <v>0</v>
      </c>
      <c r="S201" s="222"/>
      <c r="T201" s="226"/>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row>
    <row r="202" spans="1:41" ht="15.75" customHeight="1">
      <c r="A202" s="139" t="s">
        <v>625</v>
      </c>
      <c r="B202" s="168">
        <f>('Pivot Table for Data Exchange'!$H$259)*100</f>
        <v>77.434472059726573</v>
      </c>
      <c r="C202" s="168">
        <f>('Pivot Table for Data Exchange'!$H$262)*100</f>
        <v>0</v>
      </c>
      <c r="D202" s="169">
        <f>SUM(E202:G202)</f>
        <v>22.565527940273427</v>
      </c>
      <c r="E202" s="168">
        <f>('Pivot Table for Data Exchange'!$H$265)*100</f>
        <v>22.565527940273427</v>
      </c>
      <c r="F202" s="168">
        <f>('Pivot Table for Data Exchange'!$H$268)*100</f>
        <v>0</v>
      </c>
      <c r="G202" s="176">
        <f>('Pivot Table for Data Exchange'!$H$271)*100</f>
        <v>0</v>
      </c>
      <c r="H202" s="168">
        <f>('Pivot Table for Data Exchange'!$H$274)*100</f>
        <v>0</v>
      </c>
      <c r="I202" s="174" t="s">
        <v>625</v>
      </c>
      <c r="J202" s="168">
        <f>('Pivot Table for Data Exchange'!$H$277)*100</f>
        <v>32.845894263217097</v>
      </c>
      <c r="K202" s="168">
        <f>('Pivot Table for Data Exchange'!$H$280)*100</f>
        <v>0</v>
      </c>
      <c r="L202" s="169">
        <f>SUM(M202:O202)</f>
        <v>67.154105736782896</v>
      </c>
      <c r="M202" s="168">
        <f>('Pivot Table for Data Exchange'!$H$283)*100</f>
        <v>67.154105736782896</v>
      </c>
      <c r="N202" s="168">
        <f>('Pivot Table for Data Exchange'!$H$286)*100</f>
        <v>0</v>
      </c>
      <c r="O202" s="176">
        <f>('Pivot Table for Data Exchange'!$H$289)*100</f>
        <v>0</v>
      </c>
      <c r="P202" s="168">
        <f>('Pivot Table for Data Exchange'!$H$292)*100</f>
        <v>0</v>
      </c>
      <c r="Q202" s="173">
        <f t="shared" si="24"/>
        <v>100</v>
      </c>
      <c r="R202" s="173">
        <f t="shared" si="25"/>
        <v>100</v>
      </c>
      <c r="S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row>
    <row r="203" spans="1:41" ht="11.25" customHeight="1">
      <c r="B203" s="168"/>
      <c r="C203" s="168"/>
      <c r="D203" s="169"/>
      <c r="E203" s="168"/>
      <c r="F203" s="168"/>
      <c r="G203" s="176"/>
      <c r="H203" s="168"/>
      <c r="I203" s="174"/>
      <c r="J203" s="168"/>
      <c r="K203" s="168"/>
      <c r="L203" s="169"/>
      <c r="M203" s="168"/>
      <c r="N203" s="168"/>
      <c r="O203" s="176"/>
      <c r="P203" s="168"/>
      <c r="Q203" s="173">
        <f t="shared" si="24"/>
        <v>0</v>
      </c>
      <c r="R203" s="173">
        <f t="shared" si="25"/>
        <v>0</v>
      </c>
      <c r="S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row>
    <row r="204" spans="1:41" ht="15.75" customHeight="1">
      <c r="A204" s="139" t="s">
        <v>626</v>
      </c>
      <c r="B204" s="168">
        <f>('Pivot Table for Data Exchange'!$H$295)*100</f>
        <v>0</v>
      </c>
      <c r="C204" s="168">
        <f>('Pivot Table for Data Exchange'!$H$298)*100</f>
        <v>0</v>
      </c>
      <c r="D204" s="169">
        <f>SUM(E204:G204)</f>
        <v>0</v>
      </c>
      <c r="E204" s="168">
        <f>('Pivot Table for Data Exchange'!$H$301)*100</f>
        <v>0</v>
      </c>
      <c r="F204" s="168">
        <f>('Pivot Table for Data Exchange'!$H$304)*100</f>
        <v>0</v>
      </c>
      <c r="G204" s="176">
        <f>('Pivot Table for Data Exchange'!$H$307)*100</f>
        <v>0</v>
      </c>
      <c r="H204" s="168">
        <f>('Pivot Table for Data Exchange'!$H$310)*100</f>
        <v>0</v>
      </c>
      <c r="I204" s="174" t="s">
        <v>626</v>
      </c>
      <c r="J204" s="168">
        <f>('Pivot Table for Data Exchange'!$H$313)*100</f>
        <v>0</v>
      </c>
      <c r="K204" s="168">
        <f>('Pivot Table for Data Exchange'!$H$316)*100</f>
        <v>0</v>
      </c>
      <c r="L204" s="169">
        <f>SUM(M204:O204)</f>
        <v>0</v>
      </c>
      <c r="M204" s="168">
        <f>('Pivot Table for Data Exchange'!$H$319)*100</f>
        <v>0</v>
      </c>
      <c r="N204" s="168">
        <f>('Pivot Table for Data Exchange'!$H$322)*100</f>
        <v>0</v>
      </c>
      <c r="O204" s="176">
        <f>('Pivot Table for Data Exchange'!$H$325)*100</f>
        <v>0</v>
      </c>
      <c r="P204" s="168">
        <f>('Pivot Table for Data Exchange'!$H$328)*100</f>
        <v>0</v>
      </c>
      <c r="Q204" s="173">
        <f t="shared" si="24"/>
        <v>0</v>
      </c>
      <c r="R204" s="173">
        <f t="shared" si="25"/>
        <v>0</v>
      </c>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row>
    <row r="205" spans="1:41" ht="15.75" customHeight="1">
      <c r="A205" s="139" t="s">
        <v>627</v>
      </c>
      <c r="B205" s="168">
        <f>('Pivot Table for Data Exchange'!$H$331)*100</f>
        <v>64.257884340303789</v>
      </c>
      <c r="C205" s="168">
        <f>('Pivot Table for Data Exchange'!$H$334)*100</f>
        <v>0.36714120291533275</v>
      </c>
      <c r="D205" s="169">
        <f>SUM(E205:G205)</f>
        <v>35.374974456780869</v>
      </c>
      <c r="E205" s="168">
        <f>('Pivot Table for Data Exchange'!$H$337)*100</f>
        <v>33.897554662488929</v>
      </c>
      <c r="F205" s="168">
        <f>('Pivot Table for Data Exchange'!$H$340)*100</f>
        <v>1.4774197942919418</v>
      </c>
      <c r="G205" s="176">
        <f>('Pivot Table for Data Exchange'!$H$343)*100</f>
        <v>0</v>
      </c>
      <c r="H205" s="168">
        <f>('Pivot Table for Data Exchange'!$H$346)*100</f>
        <v>0</v>
      </c>
      <c r="I205" s="174" t="s">
        <v>627</v>
      </c>
      <c r="J205" s="168">
        <f>('Pivot Table for Data Exchange'!$H$349)*100</f>
        <v>32.489451476793249</v>
      </c>
      <c r="K205" s="168">
        <f>('Pivot Table for Data Exchange'!$H$352)*100</f>
        <v>0</v>
      </c>
      <c r="L205" s="169">
        <f>SUM(M205:O205)</f>
        <v>67.510548523206751</v>
      </c>
      <c r="M205" s="168">
        <f>('Pivot Table for Data Exchange'!$H$355)*100</f>
        <v>67.510548523206751</v>
      </c>
      <c r="N205" s="168">
        <f>('Pivot Table for Data Exchange'!$H$358)*100</f>
        <v>0</v>
      </c>
      <c r="O205" s="176">
        <f>('Pivot Table for Data Exchange'!$H$361)*100</f>
        <v>0</v>
      </c>
      <c r="P205" s="168">
        <f>('Pivot Table for Data Exchange'!$H$364)*100</f>
        <v>0</v>
      </c>
      <c r="Q205" s="173">
        <f t="shared" si="24"/>
        <v>100</v>
      </c>
      <c r="R205" s="173">
        <f t="shared" si="25"/>
        <v>100</v>
      </c>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row>
    <row r="206" spans="1:41" ht="15.75" customHeight="1">
      <c r="A206" s="139" t="s">
        <v>628</v>
      </c>
      <c r="B206" s="168">
        <f>('Pivot Table for Data Exchange'!$H$367)*100</f>
        <v>0</v>
      </c>
      <c r="C206" s="168">
        <f>('Pivot Table for Data Exchange'!$H$370)*100</f>
        <v>0</v>
      </c>
      <c r="D206" s="169">
        <f>SUM(E206:G206)</f>
        <v>0</v>
      </c>
      <c r="E206" s="168">
        <f>('Pivot Table for Data Exchange'!$H$373)*100</f>
        <v>0</v>
      </c>
      <c r="F206" s="168">
        <f>('Pivot Table for Data Exchange'!$H$376)*100</f>
        <v>0</v>
      </c>
      <c r="G206" s="176">
        <f>('Pivot Table for Data Exchange'!$H$379)*100</f>
        <v>0</v>
      </c>
      <c r="H206" s="168">
        <f>('Pivot Table for Data Exchange'!$H$382)*100</f>
        <v>0</v>
      </c>
      <c r="I206" s="174" t="s">
        <v>628</v>
      </c>
      <c r="J206" s="168">
        <f>('Pivot Table for Data Exchange'!$H$385)*100</f>
        <v>0</v>
      </c>
      <c r="K206" s="168">
        <f>('Pivot Table for Data Exchange'!$H$388)*100</f>
        <v>0</v>
      </c>
      <c r="L206" s="169">
        <f>SUM(M206:O206)</f>
        <v>0</v>
      </c>
      <c r="M206" s="168">
        <f>('Pivot Table for Data Exchange'!$H$391)*100</f>
        <v>0</v>
      </c>
      <c r="N206" s="168">
        <f>('Pivot Table for Data Exchange'!$H$394)*100</f>
        <v>0</v>
      </c>
      <c r="O206" s="176">
        <f>('Pivot Table for Data Exchange'!$H$397)*100</f>
        <v>0</v>
      </c>
      <c r="P206" s="168">
        <f>('Pivot Table for Data Exchange'!$H$400)*100</f>
        <v>0</v>
      </c>
      <c r="Q206" s="173">
        <f t="shared" si="24"/>
        <v>0</v>
      </c>
      <c r="R206" s="173">
        <f t="shared" si="25"/>
        <v>0</v>
      </c>
      <c r="S206" s="222"/>
      <c r="T206" s="226"/>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row>
    <row r="207" spans="1:41" ht="15.75" customHeight="1">
      <c r="A207" s="139" t="s">
        <v>629</v>
      </c>
      <c r="B207" s="168">
        <f>('Pivot Table for Data Exchange'!$H$403)*100</f>
        <v>48.655434474987217</v>
      </c>
      <c r="C207" s="168">
        <f>('Pivot Table for Data Exchange'!$H$406)*100</f>
        <v>2.8285597816914758</v>
      </c>
      <c r="D207" s="169">
        <f>SUM(E207:G207)</f>
        <v>48.516005743321308</v>
      </c>
      <c r="E207" s="168">
        <f>('Pivot Table for Data Exchange'!$H$409)*100</f>
        <v>48.516005743321308</v>
      </c>
      <c r="F207" s="168">
        <f>('Pivot Table for Data Exchange'!$H$412)*100</f>
        <v>0</v>
      </c>
      <c r="G207" s="175">
        <f>('Pivot Table for Data Exchange'!$H$415)*100</f>
        <v>0</v>
      </c>
      <c r="H207" s="168">
        <f>('Pivot Table for Data Exchange'!$H$418)*100</f>
        <v>0</v>
      </c>
      <c r="I207" s="174" t="s">
        <v>629</v>
      </c>
      <c r="J207" s="168">
        <f>('Pivot Table for Data Exchange'!$H$421)*100</f>
        <v>18.998506294900064</v>
      </c>
      <c r="K207" s="168">
        <f>('Pivot Table for Data Exchange'!$H$424)*100</f>
        <v>0.85354577139199095</v>
      </c>
      <c r="L207" s="169">
        <f>SUM(M207:O207)</f>
        <v>80.14794793370794</v>
      </c>
      <c r="M207" s="168">
        <f>('Pivot Table for Data Exchange'!$H$427)*100</f>
        <v>80.14794793370794</v>
      </c>
      <c r="N207" s="168">
        <f>('Pivot Table for Data Exchange'!$H$430)*100</f>
        <v>0</v>
      </c>
      <c r="O207" s="176">
        <f>('Pivot Table for Data Exchange'!$H$433)*100</f>
        <v>0</v>
      </c>
      <c r="P207" s="168">
        <f>('Pivot Table for Data Exchange'!$H$436)*100</f>
        <v>0</v>
      </c>
      <c r="Q207" s="173">
        <f t="shared" si="24"/>
        <v>100</v>
      </c>
      <c r="R207" s="173">
        <f t="shared" si="25"/>
        <v>100</v>
      </c>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row>
    <row r="208" spans="1:41" ht="11.25" customHeight="1">
      <c r="B208" s="168"/>
      <c r="C208" s="168"/>
      <c r="D208" s="169"/>
      <c r="E208" s="168"/>
      <c r="F208" s="168"/>
      <c r="G208" s="176"/>
      <c r="H208" s="168"/>
      <c r="I208" s="174"/>
      <c r="J208" s="168"/>
      <c r="K208" s="168"/>
      <c r="L208" s="169"/>
      <c r="M208" s="168"/>
      <c r="N208" s="168"/>
      <c r="O208" s="176"/>
      <c r="P208" s="168"/>
      <c r="Q208" s="173">
        <f t="shared" si="24"/>
        <v>0</v>
      </c>
      <c r="R208" s="173">
        <f t="shared" si="25"/>
        <v>0</v>
      </c>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row>
    <row r="209" spans="1:41" ht="15.75" customHeight="1">
      <c r="A209" s="139" t="s">
        <v>630</v>
      </c>
      <c r="B209" s="168">
        <f>('Pivot Table for Data Exchange'!$H$439)*100</f>
        <v>0</v>
      </c>
      <c r="C209" s="168">
        <f>('Pivot Table for Data Exchange'!$H$442)*100</f>
        <v>0</v>
      </c>
      <c r="D209" s="169">
        <f>SUM(E209:G209)</f>
        <v>0</v>
      </c>
      <c r="E209" s="168">
        <f>('Pivot Table for Data Exchange'!$H$445)*100</f>
        <v>0</v>
      </c>
      <c r="F209" s="168">
        <f>('Pivot Table for Data Exchange'!$H$448)*100</f>
        <v>0</v>
      </c>
      <c r="G209" s="176">
        <f>('Pivot Table for Data Exchange'!$H$451)*100</f>
        <v>0</v>
      </c>
      <c r="H209" s="168">
        <f>('Pivot Table for Data Exchange'!$H$454)*100</f>
        <v>0</v>
      </c>
      <c r="I209" s="174" t="s">
        <v>630</v>
      </c>
      <c r="J209" s="168">
        <f>('Pivot Table for Data Exchange'!$H$457)*100</f>
        <v>0</v>
      </c>
      <c r="K209" s="168">
        <f>('Pivot Table for Data Exchange'!$H$460)*100</f>
        <v>0</v>
      </c>
      <c r="L209" s="169">
        <f>SUM(M209:O209)</f>
        <v>0</v>
      </c>
      <c r="M209" s="168">
        <f>('Pivot Table for Data Exchange'!$H$463)*100</f>
        <v>0</v>
      </c>
      <c r="N209" s="168">
        <f>('Pivot Table for Data Exchange'!$H$466)*100</f>
        <v>0</v>
      </c>
      <c r="O209" s="176">
        <f>('Pivot Table for Data Exchange'!$H$469)*100</f>
        <v>0</v>
      </c>
      <c r="P209" s="168">
        <f>('Pivot Table for Data Exchange'!$H$472)*100</f>
        <v>0</v>
      </c>
      <c r="Q209" s="173">
        <f t="shared" si="24"/>
        <v>0</v>
      </c>
      <c r="R209" s="173">
        <f t="shared" si="25"/>
        <v>0</v>
      </c>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row>
    <row r="210" spans="1:41" ht="15.75" customHeight="1">
      <c r="A210" s="139" t="s">
        <v>631</v>
      </c>
      <c r="B210" s="168">
        <f>('Pivot Table for Data Exchange'!$H$475)*100</f>
        <v>0</v>
      </c>
      <c r="C210" s="168">
        <f>('Pivot Table for Data Exchange'!$H$478)*100</f>
        <v>0</v>
      </c>
      <c r="D210" s="169">
        <f>SUM(E210:G210)</f>
        <v>0</v>
      </c>
      <c r="E210" s="168">
        <f>('Pivot Table for Data Exchange'!$H$481)*100</f>
        <v>0</v>
      </c>
      <c r="F210" s="168">
        <f>('Pivot Table for Data Exchange'!$H$484)*100</f>
        <v>0</v>
      </c>
      <c r="G210" s="175">
        <f>('Pivot Table for Data Exchange'!$H$487)*100</f>
        <v>0</v>
      </c>
      <c r="H210" s="168">
        <f>('Pivot Table for Data Exchange'!$H$490)*100</f>
        <v>0</v>
      </c>
      <c r="I210" s="174" t="s">
        <v>631</v>
      </c>
      <c r="J210" s="168">
        <f>('Pivot Table for Data Exchange'!$H$493)*100</f>
        <v>0</v>
      </c>
      <c r="K210" s="168">
        <f>('Pivot Table for Data Exchange'!$H$496)*100</f>
        <v>0</v>
      </c>
      <c r="L210" s="169">
        <f>SUM(M210:O210)</f>
        <v>0</v>
      </c>
      <c r="M210" s="168">
        <f>('Pivot Table for Data Exchange'!$H$499)*100</f>
        <v>0</v>
      </c>
      <c r="N210" s="168">
        <f>('Pivot Table for Data Exchange'!$H$502)*100</f>
        <v>0</v>
      </c>
      <c r="O210" s="176">
        <f>('Pivot Table for Data Exchange'!$H$505)*100</f>
        <v>0</v>
      </c>
      <c r="P210" s="168">
        <f>('Pivot Table for Data Exchange'!$H$508)*100</f>
        <v>0</v>
      </c>
      <c r="Q210" s="173">
        <f t="shared" si="24"/>
        <v>0</v>
      </c>
      <c r="R210" s="173">
        <f t="shared" si="25"/>
        <v>0</v>
      </c>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row>
    <row r="211" spans="1:41" ht="15.75" customHeight="1">
      <c r="A211" s="139" t="s">
        <v>632</v>
      </c>
      <c r="B211" s="168">
        <f>('Pivot Table for Data Exchange'!$H$511)*100</f>
        <v>71.382117369764956</v>
      </c>
      <c r="C211" s="168">
        <f>('Pivot Table for Data Exchange'!$H$514)*100</f>
        <v>1.5647847057026254</v>
      </c>
      <c r="D211" s="169">
        <f>SUM(E211:G211)</f>
        <v>27.05309792453242</v>
      </c>
      <c r="E211" s="168">
        <f>('Pivot Table for Data Exchange'!$H$517)*100</f>
        <v>27.05309792453242</v>
      </c>
      <c r="F211" s="168">
        <f>('Pivot Table for Data Exchange'!$H$520)*100</f>
        <v>0</v>
      </c>
      <c r="G211" s="176">
        <f>('Pivot Table for Data Exchange'!$H$523)*100</f>
        <v>0</v>
      </c>
      <c r="H211" s="168">
        <f>('Pivot Table for Data Exchange'!$H$526)*100</f>
        <v>0</v>
      </c>
      <c r="I211" s="174" t="s">
        <v>632</v>
      </c>
      <c r="J211" s="168">
        <f>('Pivot Table for Data Exchange'!$H$529)*100</f>
        <v>0</v>
      </c>
      <c r="K211" s="168">
        <f>('Pivot Table for Data Exchange'!$H$532)*100</f>
        <v>0</v>
      </c>
      <c r="L211" s="169">
        <f>SUM(M211:O211)</f>
        <v>0</v>
      </c>
      <c r="M211" s="168">
        <f>('Pivot Table for Data Exchange'!$H$535)*100</f>
        <v>0</v>
      </c>
      <c r="N211" s="168">
        <f>('Pivot Table for Data Exchange'!$H$538)*100</f>
        <v>0</v>
      </c>
      <c r="O211" s="176">
        <f>('Pivot Table for Data Exchange'!$H$541)*100</f>
        <v>0</v>
      </c>
      <c r="P211" s="168">
        <f>('Pivot Table for Data Exchange'!$H$544)*100</f>
        <v>0</v>
      </c>
      <c r="Q211" s="173">
        <f t="shared" si="24"/>
        <v>100</v>
      </c>
      <c r="R211" s="173">
        <f t="shared" si="25"/>
        <v>0</v>
      </c>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row>
    <row r="212" spans="1:41" ht="15.75" customHeight="1">
      <c r="A212" s="145" t="s">
        <v>633</v>
      </c>
      <c r="B212" s="181">
        <f>('Pivot Table for Data Exchange'!$H$547)*100</f>
        <v>48.074854558702768</v>
      </c>
      <c r="C212" s="181">
        <f>('Pivot Table for Data Exchange'!$H$550)*100</f>
        <v>13.669747053584851</v>
      </c>
      <c r="D212" s="182">
        <f>SUM(E212:G212)</f>
        <v>38.255398387712383</v>
      </c>
      <c r="E212" s="181">
        <f>('Pivot Table for Data Exchange'!$H$553)*100</f>
        <v>38.255398387712383</v>
      </c>
      <c r="F212" s="181">
        <f>('Pivot Table for Data Exchange'!$H$556)*100</f>
        <v>0</v>
      </c>
      <c r="G212" s="204">
        <f>('Pivot Table for Data Exchange'!$H$559)*100</f>
        <v>0</v>
      </c>
      <c r="H212" s="181">
        <f>('Pivot Table for Data Exchange'!$H$562)*100</f>
        <v>0</v>
      </c>
      <c r="I212" s="184" t="s">
        <v>633</v>
      </c>
      <c r="J212" s="181">
        <f>('Pivot Table for Data Exchange'!$H$565)*100</f>
        <v>72.078198045048865</v>
      </c>
      <c r="K212" s="181">
        <f>('Pivot Table for Data Exchange'!$H$568)*100</f>
        <v>0</v>
      </c>
      <c r="L212" s="182">
        <f>SUM(M212:O212)</f>
        <v>27.921801954951125</v>
      </c>
      <c r="M212" s="181">
        <f>('Pivot Table for Data Exchange'!$H$571)*100</f>
        <v>27.921801954951125</v>
      </c>
      <c r="N212" s="181">
        <f>('Pivot Table for Data Exchange'!$H$574)*100</f>
        <v>0</v>
      </c>
      <c r="O212" s="183">
        <f>('Pivot Table for Data Exchange'!$H$577)*100</f>
        <v>0</v>
      </c>
      <c r="P212" s="181">
        <f>('Pivot Table for Data Exchange'!$H$580)*100</f>
        <v>0</v>
      </c>
      <c r="Q212" s="173">
        <f t="shared" si="24"/>
        <v>100</v>
      </c>
      <c r="R212" s="173">
        <f t="shared" si="25"/>
        <v>99.999999999999986</v>
      </c>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row>
    <row r="213" spans="1:41" s="212" customFormat="1" ht="13.5" customHeight="1">
      <c r="A213" s="187" t="s">
        <v>658</v>
      </c>
      <c r="B213" s="188"/>
      <c r="C213" s="188"/>
      <c r="D213" s="189"/>
      <c r="E213" s="188"/>
      <c r="F213" s="189"/>
      <c r="G213" s="189"/>
      <c r="H213" s="188"/>
      <c r="I213" s="187" t="s">
        <v>658</v>
      </c>
      <c r="J213" s="188"/>
      <c r="K213" s="188"/>
      <c r="L213" s="189"/>
      <c r="M213" s="188"/>
      <c r="N213" s="189"/>
      <c r="O213" s="189"/>
      <c r="P213" s="188"/>
      <c r="Q213" s="173">
        <f t="shared" si="24"/>
        <v>0</v>
      </c>
      <c r="R213" s="173">
        <f t="shared" si="25"/>
        <v>0</v>
      </c>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row>
    <row r="214" spans="1:41" s="212" customFormat="1" ht="23.25" customHeight="1">
      <c r="A214" s="492" t="s">
        <v>664</v>
      </c>
      <c r="B214" s="493"/>
      <c r="C214" s="493"/>
      <c r="D214" s="493"/>
      <c r="E214" s="493"/>
      <c r="F214" s="493"/>
      <c r="G214" s="493"/>
      <c r="H214" s="493"/>
      <c r="I214" s="492"/>
      <c r="J214" s="493"/>
      <c r="K214" s="493"/>
      <c r="L214" s="493"/>
      <c r="M214" s="493"/>
      <c r="N214" s="493"/>
      <c r="O214" s="493"/>
      <c r="P214" s="493"/>
      <c r="Q214" s="173">
        <f t="shared" si="24"/>
        <v>0</v>
      </c>
      <c r="R214" s="173">
        <f t="shared" si="25"/>
        <v>0</v>
      </c>
    </row>
    <row r="215" spans="1:41" s="212" customFormat="1" ht="10.5" customHeight="1">
      <c r="A215" s="191"/>
      <c r="B215" s="200"/>
      <c r="C215" s="200"/>
      <c r="D215" s="200"/>
      <c r="E215" s="200"/>
      <c r="F215" s="200"/>
      <c r="G215" s="200"/>
      <c r="H215" s="200"/>
      <c r="I215" s="191"/>
      <c r="J215" s="200"/>
      <c r="K215" s="200"/>
      <c r="L215" s="200"/>
      <c r="M215" s="200"/>
      <c r="N215" s="200"/>
      <c r="O215" s="200"/>
      <c r="P215" s="200"/>
      <c r="Q215" s="173">
        <f t="shared" si="24"/>
        <v>0</v>
      </c>
      <c r="R215" s="173">
        <f t="shared" si="25"/>
        <v>0</v>
      </c>
    </row>
    <row r="216" spans="1:41" s="212" customFormat="1">
      <c r="A216" s="186"/>
      <c r="B216" s="186"/>
      <c r="C216" s="186"/>
      <c r="D216" s="186"/>
      <c r="E216" s="186"/>
      <c r="F216" s="186"/>
      <c r="G216" s="186"/>
      <c r="H216" s="192" t="s">
        <v>923</v>
      </c>
      <c r="I216" s="186"/>
      <c r="J216" s="186"/>
      <c r="K216" s="186"/>
      <c r="L216" s="186"/>
      <c r="M216" s="186"/>
      <c r="N216" s="186"/>
      <c r="O216" s="186"/>
      <c r="P216" s="192" t="s">
        <v>923</v>
      </c>
      <c r="Q216" s="173">
        <f t="shared" si="24"/>
        <v>0</v>
      </c>
      <c r="R216" s="173">
        <f t="shared" si="25"/>
        <v>0</v>
      </c>
    </row>
    <row r="217" spans="1:41" ht="18">
      <c r="A217" s="134" t="s">
        <v>671</v>
      </c>
      <c r="B217" s="135"/>
      <c r="C217" s="135"/>
      <c r="D217" s="135"/>
      <c r="E217" s="135"/>
      <c r="F217" s="135"/>
      <c r="G217" s="135"/>
      <c r="H217" s="135"/>
      <c r="I217" s="139"/>
      <c r="Q217" s="173">
        <f>SUM(B217,C217,D217,H217)</f>
        <v>0</v>
      </c>
    </row>
    <row r="218" spans="1:41" ht="13">
      <c r="A218" s="140"/>
      <c r="B218" s="136"/>
      <c r="C218" s="136"/>
      <c r="D218" s="136"/>
      <c r="E218" s="136"/>
      <c r="F218" s="136"/>
      <c r="G218" s="136"/>
      <c r="H218" s="136"/>
      <c r="I218" s="139"/>
      <c r="Q218" s="173">
        <f t="shared" ref="Q218:Q281" si="34">SUM(B218,C218,D218,H218)</f>
        <v>0</v>
      </c>
    </row>
    <row r="219" spans="1:41" ht="15.5">
      <c r="A219" s="142" t="s">
        <v>639</v>
      </c>
      <c r="B219" s="136"/>
      <c r="C219" s="136"/>
      <c r="D219" s="136"/>
      <c r="E219" s="136"/>
      <c r="F219" s="136"/>
      <c r="G219" s="136"/>
      <c r="H219" s="136"/>
      <c r="L219" s="136"/>
      <c r="Q219" s="173">
        <f t="shared" si="34"/>
        <v>0</v>
      </c>
    </row>
    <row r="220" spans="1:41" ht="15.5">
      <c r="A220" s="142" t="s">
        <v>888</v>
      </c>
      <c r="B220" s="136"/>
      <c r="C220" s="136"/>
      <c r="D220" s="136"/>
      <c r="E220" s="136"/>
      <c r="F220" s="136"/>
      <c r="G220" s="136"/>
      <c r="H220" s="136"/>
      <c r="Q220" s="173">
        <f t="shared" si="34"/>
        <v>0</v>
      </c>
    </row>
    <row r="221" spans="1:41">
      <c r="A221" s="145"/>
      <c r="B221" s="146"/>
      <c r="C221" s="146"/>
      <c r="D221" s="146"/>
      <c r="E221" s="146"/>
      <c r="F221" s="146"/>
      <c r="G221" s="146"/>
      <c r="H221" s="146"/>
      <c r="Q221" s="173">
        <f t="shared" si="34"/>
        <v>0</v>
      </c>
    </row>
    <row r="222" spans="1:41">
      <c r="A222" s="150"/>
      <c r="B222" s="151" t="s">
        <v>641</v>
      </c>
      <c r="C222" s="151"/>
      <c r="D222" s="151"/>
      <c r="E222" s="151"/>
      <c r="F222" s="151"/>
      <c r="G222" s="151"/>
      <c r="H222" s="152"/>
      <c r="Q222" s="173">
        <f t="shared" si="34"/>
        <v>0</v>
      </c>
    </row>
    <row r="223" spans="1:41">
      <c r="A223" s="150"/>
      <c r="B223" s="151" t="s">
        <v>642</v>
      </c>
      <c r="C223" s="151"/>
      <c r="D223" s="487" t="s">
        <v>643</v>
      </c>
      <c r="E223" s="485"/>
      <c r="F223" s="485"/>
      <c r="G223" s="485"/>
      <c r="H223" s="158" t="s">
        <v>533</v>
      </c>
      <c r="Q223" s="173">
        <f t="shared" si="34"/>
        <v>0</v>
      </c>
    </row>
    <row r="224" spans="1:41" ht="34.5">
      <c r="A224" s="150"/>
      <c r="B224" s="159" t="s">
        <v>644</v>
      </c>
      <c r="C224" s="160" t="s">
        <v>645</v>
      </c>
      <c r="D224" s="161" t="s">
        <v>646</v>
      </c>
      <c r="E224" s="162" t="s">
        <v>8</v>
      </c>
      <c r="F224" s="159" t="s">
        <v>647</v>
      </c>
      <c r="G224" s="163" t="s">
        <v>656</v>
      </c>
      <c r="H224" s="164" t="s">
        <v>649</v>
      </c>
      <c r="I224" s="193"/>
      <c r="J224" s="155"/>
      <c r="K224" s="155"/>
      <c r="L224" s="155"/>
      <c r="M224" s="155"/>
      <c r="N224" s="155"/>
      <c r="O224" s="155"/>
      <c r="Q224" s="173">
        <f t="shared" si="34"/>
        <v>0</v>
      </c>
    </row>
    <row r="225" spans="1:41" ht="15.75" customHeight="1">
      <c r="A225" s="194" t="s">
        <v>618</v>
      </c>
      <c r="B225" s="221">
        <f>('Pivot Table for Data Exchange'!$O$7)*100</f>
        <v>44.952105344202842</v>
      </c>
      <c r="C225" s="168">
        <f>('Pivot Table for Data Exchange'!$O$10)*100</f>
        <v>4.9743130269695346</v>
      </c>
      <c r="D225" s="169">
        <f>SUM(E225:G225)</f>
        <v>50.036157330192118</v>
      </c>
      <c r="E225" s="168">
        <f>('Pivot Table for Data Exchange'!$O$13)*100</f>
        <v>49.559582277255579</v>
      </c>
      <c r="F225" s="168">
        <f>('Pivot Table for Data Exchange'!$O$16)*100</f>
        <v>0.13988631069834651</v>
      </c>
      <c r="G225" s="172">
        <f>('Pivot Table for Data Exchange'!$O$19)*100</f>
        <v>0.33668874223819395</v>
      </c>
      <c r="H225" s="168">
        <f>('Pivot Table for Data Exchange'!$O$22)*100</f>
        <v>3.7424298635507468E-2</v>
      </c>
      <c r="I225" s="206"/>
      <c r="J225" s="206"/>
      <c r="K225" s="206"/>
      <c r="L225" s="206"/>
      <c r="M225" s="206"/>
      <c r="N225" s="206"/>
      <c r="O225" s="206"/>
      <c r="P225" s="207"/>
      <c r="Q225" s="173">
        <f t="shared" si="34"/>
        <v>100.00000000000001</v>
      </c>
      <c r="R225" s="173"/>
      <c r="Z225" s="222"/>
      <c r="AA225" s="222"/>
      <c r="AB225" s="222"/>
      <c r="AC225" s="222"/>
      <c r="AD225" s="222"/>
      <c r="AE225" s="222"/>
      <c r="AF225" s="222"/>
      <c r="AG225" s="222"/>
      <c r="AH225" s="222"/>
      <c r="AI225" s="222"/>
      <c r="AJ225" s="222"/>
      <c r="AK225" s="222"/>
      <c r="AL225" s="222"/>
      <c r="AM225" s="222"/>
      <c r="AN225" s="222"/>
      <c r="AO225" s="222"/>
    </row>
    <row r="226" spans="1:41" ht="15.75" customHeight="1">
      <c r="A226" s="139" t="s">
        <v>619</v>
      </c>
      <c r="B226" s="168">
        <f>('Pivot Table for Data Exchange'!$O$43)*100</f>
        <v>55.093825953828727</v>
      </c>
      <c r="C226" s="168">
        <f>('Pivot Table for Data Exchange'!$O$46)*100</f>
        <v>8.8477290616107176</v>
      </c>
      <c r="D226" s="169">
        <f t="shared" ref="D226:D228" si="35">SUM(E226:G226)</f>
        <v>36.058444984560559</v>
      </c>
      <c r="E226" s="168">
        <f>('Pivot Table for Data Exchange'!$O$49)*100</f>
        <v>35.089803914784667</v>
      </c>
      <c r="F226" s="168">
        <f>('Pivot Table for Data Exchange'!$O$52)*100</f>
        <v>0.92247411623260356</v>
      </c>
      <c r="G226" s="179">
        <f>('Pivot Table for Data Exchange'!$O$55)*100</f>
        <v>4.6166953543286655E-2</v>
      </c>
      <c r="H226" s="177">
        <f>('Pivot Table for Data Exchange'!$O$58)*100</f>
        <v>0</v>
      </c>
      <c r="I226" s="206"/>
      <c r="J226" s="206"/>
      <c r="K226" s="206"/>
      <c r="L226" s="206"/>
      <c r="M226" s="206"/>
      <c r="N226" s="206"/>
      <c r="O226" s="206"/>
      <c r="P226" s="207"/>
      <c r="Q226" s="173">
        <f t="shared" si="34"/>
        <v>100</v>
      </c>
      <c r="R226" s="173"/>
      <c r="Z226" s="222"/>
      <c r="AA226" s="222"/>
      <c r="AB226" s="222"/>
      <c r="AC226" s="222"/>
      <c r="AD226" s="222"/>
      <c r="AE226" s="222"/>
      <c r="AF226" s="222"/>
      <c r="AG226" s="222"/>
      <c r="AH226" s="222"/>
      <c r="AI226" s="222"/>
      <c r="AJ226" s="222"/>
      <c r="AK226" s="222"/>
      <c r="AL226" s="222"/>
      <c r="AM226" s="222"/>
      <c r="AN226" s="222"/>
      <c r="AO226" s="222"/>
    </row>
    <row r="227" spans="1:41" ht="15.75" customHeight="1">
      <c r="A227" s="139" t="s">
        <v>620</v>
      </c>
      <c r="B227" s="168">
        <f>('Pivot Table for Data Exchange'!$O$79)*100</f>
        <v>74.155805748893073</v>
      </c>
      <c r="C227" s="168">
        <f>('Pivot Table for Data Exchange'!$O$82)*100</f>
        <v>0</v>
      </c>
      <c r="D227" s="169">
        <f t="shared" si="35"/>
        <v>25.844194251106913</v>
      </c>
      <c r="E227" s="168">
        <f>('Pivot Table for Data Exchange'!$O$85)*100</f>
        <v>24.750396741099877</v>
      </c>
      <c r="F227" s="168">
        <f>('Pivot Table for Data Exchange'!$O$88)*100</f>
        <v>0.40777904124024805</v>
      </c>
      <c r="G227" s="176">
        <f>('Pivot Table for Data Exchange'!$O$91)*100</f>
        <v>0.68601846876679118</v>
      </c>
      <c r="H227" s="168">
        <f>('Pivot Table for Data Exchange'!$O$94)*100</f>
        <v>0</v>
      </c>
      <c r="I227" s="206"/>
      <c r="J227" s="206"/>
      <c r="K227" s="206"/>
      <c r="L227" s="206"/>
      <c r="M227" s="206"/>
      <c r="N227" s="206"/>
      <c r="O227" s="206"/>
      <c r="P227" s="207"/>
      <c r="Q227" s="173">
        <f t="shared" si="34"/>
        <v>99.999999999999986</v>
      </c>
      <c r="R227" s="173"/>
      <c r="Z227" s="222"/>
      <c r="AA227" s="222"/>
      <c r="AB227" s="222"/>
      <c r="AC227" s="222"/>
      <c r="AD227" s="222"/>
      <c r="AE227" s="222"/>
      <c r="AF227" s="222"/>
      <c r="AG227" s="222"/>
      <c r="AH227" s="222"/>
      <c r="AI227" s="222"/>
      <c r="AJ227" s="222"/>
      <c r="AK227" s="222"/>
      <c r="AL227" s="222"/>
      <c r="AM227" s="222"/>
      <c r="AN227" s="222"/>
      <c r="AO227" s="222"/>
    </row>
    <row r="228" spans="1:41" ht="15.75" customHeight="1">
      <c r="A228" s="139" t="s">
        <v>657</v>
      </c>
      <c r="B228" s="168">
        <f>('Pivot Table for Data Exchange'!$O$115)*100</f>
        <v>35.753081611492448</v>
      </c>
      <c r="C228" s="168">
        <f>('Pivot Table for Data Exchange'!$O$118)*100</f>
        <v>2.7482714165441862</v>
      </c>
      <c r="D228" s="169">
        <f t="shared" si="35"/>
        <v>61.461414273425831</v>
      </c>
      <c r="E228" s="168">
        <f>('Pivot Table for Data Exchange'!$O$121)*100</f>
        <v>50.238178418222859</v>
      </c>
      <c r="F228" s="168">
        <f>('Pivot Table for Data Exchange'!$O$124)*100</f>
        <v>11.191888620062253</v>
      </c>
      <c r="G228" s="176">
        <f>('Pivot Table for Data Exchange'!$O$127)*100</f>
        <v>3.1347235140719146E-2</v>
      </c>
      <c r="H228" s="177">
        <f>('Pivot Table for Data Exchange'!$O$130)*100</f>
        <v>3.7232698537536628E-2</v>
      </c>
      <c r="I228" s="206"/>
      <c r="J228" s="206"/>
      <c r="K228" s="206"/>
      <c r="L228" s="206"/>
      <c r="M228" s="206"/>
      <c r="N228" s="206"/>
      <c r="O228" s="206"/>
      <c r="P228" s="207"/>
      <c r="Q228" s="173">
        <f t="shared" si="34"/>
        <v>100</v>
      </c>
      <c r="R228" s="173"/>
      <c r="Z228" s="222"/>
      <c r="AA228" s="222"/>
      <c r="AB228" s="222"/>
      <c r="AC228" s="222"/>
      <c r="AD228" s="222"/>
      <c r="AE228" s="222"/>
      <c r="AF228" s="222"/>
      <c r="AG228" s="222"/>
      <c r="AH228" s="222"/>
      <c r="AI228" s="222"/>
      <c r="AJ228" s="222"/>
      <c r="AK228" s="222"/>
      <c r="AL228" s="222"/>
      <c r="AM228" s="222"/>
      <c r="AN228" s="222"/>
      <c r="AO228" s="222"/>
    </row>
    <row r="229" spans="1:41" ht="15.75" customHeight="1">
      <c r="B229" s="168"/>
      <c r="C229" s="168"/>
      <c r="D229" s="169"/>
      <c r="E229" s="168"/>
      <c r="F229" s="168"/>
      <c r="G229" s="176"/>
      <c r="H229" s="168"/>
      <c r="I229" s="206"/>
      <c r="J229" s="206"/>
      <c r="K229" s="206"/>
      <c r="L229" s="206"/>
      <c r="M229" s="206"/>
      <c r="N229" s="206"/>
      <c r="O229" s="206"/>
      <c r="P229" s="207"/>
      <c r="Q229" s="173">
        <f t="shared" si="34"/>
        <v>0</v>
      </c>
      <c r="R229" s="173"/>
      <c r="Z229" s="222"/>
      <c r="AA229" s="222"/>
      <c r="AB229" s="222"/>
      <c r="AC229" s="222"/>
      <c r="AD229" s="222"/>
      <c r="AE229" s="222"/>
      <c r="AF229" s="222"/>
      <c r="AG229" s="222"/>
      <c r="AH229" s="222"/>
      <c r="AI229" s="222"/>
      <c r="AJ229" s="222"/>
      <c r="AK229" s="222"/>
      <c r="AL229" s="222"/>
      <c r="AM229" s="222"/>
      <c r="AN229" s="222"/>
      <c r="AO229" s="222"/>
    </row>
    <row r="230" spans="1:41" ht="15.75" customHeight="1">
      <c r="A230" s="139" t="s">
        <v>622</v>
      </c>
      <c r="B230" s="168">
        <f>('Pivot Table for Data Exchange'!$O$151)*100</f>
        <v>36.683602170922207</v>
      </c>
      <c r="C230" s="168">
        <f>('Pivot Table for Data Exchange'!$O$154)*100</f>
        <v>11.089324854748259</v>
      </c>
      <c r="D230" s="169">
        <f t="shared" ref="D230:D231" si="36">SUM(E230:G230)</f>
        <v>52.227072974329538</v>
      </c>
      <c r="E230" s="168">
        <f>('Pivot Table for Data Exchange'!$O$157)*100</f>
        <v>52.227072974329538</v>
      </c>
      <c r="F230" s="180">
        <f>('Pivot Table for Data Exchange'!$O$160)*100</f>
        <v>0</v>
      </c>
      <c r="G230" s="176">
        <f>('Pivot Table for Data Exchange'!$O$163)*100</f>
        <v>0</v>
      </c>
      <c r="H230" s="180">
        <f>('Pivot Table for Data Exchange'!$O$166)*100</f>
        <v>0</v>
      </c>
      <c r="I230" s="206"/>
      <c r="J230" s="206"/>
      <c r="K230" s="206"/>
      <c r="L230" s="206"/>
      <c r="M230" s="206"/>
      <c r="N230" s="206"/>
      <c r="O230" s="206"/>
      <c r="P230" s="207"/>
      <c r="Q230" s="173">
        <f t="shared" si="34"/>
        <v>100</v>
      </c>
      <c r="R230" s="173"/>
      <c r="Z230" s="222"/>
      <c r="AA230" s="222"/>
      <c r="AB230" s="222"/>
      <c r="AC230" s="222"/>
      <c r="AD230" s="222"/>
      <c r="AE230" s="222"/>
      <c r="AF230" s="222"/>
      <c r="AG230" s="222"/>
      <c r="AH230" s="222"/>
      <c r="AI230" s="222"/>
      <c r="AJ230" s="222"/>
      <c r="AK230" s="222"/>
      <c r="AL230" s="222"/>
      <c r="AM230" s="222"/>
      <c r="AN230" s="222"/>
      <c r="AO230" s="222"/>
    </row>
    <row r="231" spans="1:41" ht="15.75" customHeight="1">
      <c r="A231" s="139" t="s">
        <v>623</v>
      </c>
      <c r="B231" s="168">
        <f>('Pivot Table for Data Exchange'!$O$187)*100</f>
        <v>42.263224903713152</v>
      </c>
      <c r="C231" s="168">
        <f>('Pivot Table for Data Exchange'!$O$190)*100</f>
        <v>6.3131147220777004</v>
      </c>
      <c r="D231" s="169">
        <f t="shared" si="36"/>
        <v>51.423660374209156</v>
      </c>
      <c r="E231" s="168">
        <f>('Pivot Table for Data Exchange'!$O$193)*100</f>
        <v>51.423660374209156</v>
      </c>
      <c r="F231" s="168">
        <f>('Pivot Table for Data Exchange'!$O$196)*100</f>
        <v>0</v>
      </c>
      <c r="G231" s="176">
        <f>('Pivot Table for Data Exchange'!$O$199)*100</f>
        <v>0</v>
      </c>
      <c r="H231" s="168">
        <f>('Pivot Table for Data Exchange'!$O$202)*100</f>
        <v>0</v>
      </c>
      <c r="I231" s="206"/>
      <c r="J231" s="206"/>
      <c r="K231" s="206"/>
      <c r="L231" s="206"/>
      <c r="M231" s="206"/>
      <c r="N231" s="206"/>
      <c r="O231" s="206"/>
      <c r="P231" s="207"/>
      <c r="Q231" s="173">
        <f t="shared" si="34"/>
        <v>100</v>
      </c>
      <c r="R231" s="173"/>
      <c r="Z231" s="222"/>
      <c r="AA231" s="222"/>
      <c r="AB231" s="222"/>
      <c r="AC231" s="222"/>
      <c r="AD231" s="222"/>
      <c r="AE231" s="222"/>
      <c r="AF231" s="222"/>
      <c r="AG231" s="222"/>
      <c r="AH231" s="222"/>
      <c r="AI231" s="222"/>
      <c r="AJ231" s="222"/>
      <c r="AK231" s="222"/>
      <c r="AL231" s="222"/>
      <c r="AM231" s="222"/>
      <c r="AN231" s="222"/>
      <c r="AO231" s="222"/>
    </row>
    <row r="232" spans="1:41" ht="15.75" customHeight="1">
      <c r="A232" s="139" t="s">
        <v>624</v>
      </c>
      <c r="B232" s="168">
        <f>('Pivot Table for Data Exchange'!$O$223)*100</f>
        <v>48.840557955289995</v>
      </c>
      <c r="C232" s="168">
        <f>('Pivot Table for Data Exchange'!$O$226)*100</f>
        <v>0</v>
      </c>
      <c r="D232" s="169">
        <f>SUM(E232:G232)</f>
        <v>51.159442044710005</v>
      </c>
      <c r="E232" s="168">
        <f>('Pivot Table for Data Exchange'!$O$229)*100</f>
        <v>51.159442044710005</v>
      </c>
      <c r="F232" s="168">
        <f>('Pivot Table for Data Exchange'!$O$232)*100</f>
        <v>0</v>
      </c>
      <c r="G232" s="176">
        <f>('Pivot Table for Data Exchange'!$O$235)*100</f>
        <v>0</v>
      </c>
      <c r="H232" s="168">
        <f>('Pivot Table for Data Exchange'!$O$238)*100</f>
        <v>0</v>
      </c>
      <c r="Q232" s="173">
        <f t="shared" si="34"/>
        <v>100</v>
      </c>
      <c r="R232" s="173"/>
      <c r="Z232" s="222"/>
      <c r="AA232" s="222"/>
      <c r="AB232" s="222"/>
      <c r="AC232" s="222"/>
      <c r="AD232" s="222"/>
      <c r="AE232" s="222"/>
      <c r="AF232" s="222"/>
      <c r="AG232" s="222"/>
      <c r="AH232" s="222"/>
      <c r="AI232" s="222"/>
      <c r="AJ232" s="222"/>
      <c r="AK232" s="222"/>
      <c r="AL232" s="222"/>
      <c r="AM232" s="222"/>
      <c r="AN232" s="222"/>
      <c r="AO232" s="222"/>
    </row>
    <row r="233" spans="1:41" ht="15.75" customHeight="1">
      <c r="A233" s="139" t="s">
        <v>625</v>
      </c>
      <c r="B233" s="168">
        <f>('Pivot Table for Data Exchange'!$O$259)*100</f>
        <v>29.694643881183659</v>
      </c>
      <c r="C233" s="168">
        <f>('Pivot Table for Data Exchange'!$O$262)*100</f>
        <v>8.1743093279360046</v>
      </c>
      <c r="D233" s="169">
        <f>SUM(E233:G233)</f>
        <v>62.131046790880333</v>
      </c>
      <c r="E233" s="168">
        <f>('Pivot Table for Data Exchange'!$O$265)*100</f>
        <v>60.390928142213141</v>
      </c>
      <c r="F233" s="168">
        <f>('Pivot Table for Data Exchange'!$O$268)*100</f>
        <v>1.7401186486671951</v>
      </c>
      <c r="G233" s="175">
        <f>('Pivot Table for Data Exchange'!$O$271)*100</f>
        <v>0</v>
      </c>
      <c r="H233" s="177">
        <f>('Pivot Table for Data Exchange'!$O$274)*100</f>
        <v>0</v>
      </c>
      <c r="I233" s="206"/>
      <c r="J233" s="206"/>
      <c r="K233" s="206"/>
      <c r="L233" s="206"/>
      <c r="M233" s="206"/>
      <c r="N233" s="206"/>
      <c r="O233" s="206"/>
      <c r="P233" s="207"/>
      <c r="Q233" s="173">
        <f t="shared" si="34"/>
        <v>100</v>
      </c>
      <c r="R233" s="173"/>
      <c r="Z233" s="222"/>
      <c r="AA233" s="222"/>
      <c r="AB233" s="222"/>
      <c r="AC233" s="222"/>
      <c r="AD233" s="222"/>
      <c r="AE233" s="222"/>
      <c r="AF233" s="222"/>
      <c r="AG233" s="222"/>
      <c r="AH233" s="222"/>
      <c r="AI233" s="222"/>
      <c r="AJ233" s="222"/>
      <c r="AK233" s="222"/>
      <c r="AL233" s="222"/>
      <c r="AM233" s="222"/>
      <c r="AN233" s="222"/>
      <c r="AO233" s="222"/>
    </row>
    <row r="234" spans="1:41" ht="15.75" customHeight="1">
      <c r="B234" s="168"/>
      <c r="C234" s="168"/>
      <c r="D234" s="169"/>
      <c r="E234" s="168"/>
      <c r="F234" s="168"/>
      <c r="G234" s="176"/>
      <c r="H234" s="168"/>
      <c r="I234" s="206"/>
      <c r="J234" s="206"/>
      <c r="K234" s="206"/>
      <c r="L234" s="206"/>
      <c r="M234" s="206"/>
      <c r="N234" s="206"/>
      <c r="O234" s="206"/>
      <c r="P234" s="207"/>
      <c r="Q234" s="173">
        <f t="shared" si="34"/>
        <v>0</v>
      </c>
      <c r="R234" s="173"/>
      <c r="Z234" s="222"/>
      <c r="AA234" s="222"/>
      <c r="AB234" s="222"/>
      <c r="AC234" s="222"/>
      <c r="AD234" s="222"/>
      <c r="AE234" s="222"/>
      <c r="AF234" s="222"/>
      <c r="AG234" s="222"/>
      <c r="AH234" s="222"/>
      <c r="AI234" s="222"/>
      <c r="AJ234" s="222"/>
      <c r="AK234" s="222"/>
      <c r="AL234" s="222"/>
      <c r="AM234" s="222"/>
      <c r="AN234" s="222"/>
      <c r="AO234" s="222"/>
    </row>
    <row r="235" spans="1:41" ht="15.75" customHeight="1">
      <c r="A235" s="139" t="s">
        <v>672</v>
      </c>
      <c r="B235" s="168">
        <f>('Pivot Table for Data Exchange'!$O$295)*100</f>
        <v>0</v>
      </c>
      <c r="C235" s="168">
        <f>('Pivot Table for Data Exchange'!$O$298)*100</f>
        <v>0</v>
      </c>
      <c r="D235" s="169">
        <f>SUM(E235:G235)</f>
        <v>0</v>
      </c>
      <c r="E235" s="168">
        <f>('Pivot Table for Data Exchange'!$O$301)*100</f>
        <v>0</v>
      </c>
      <c r="F235" s="168">
        <f>('Pivot Table for Data Exchange'!$O$304)*100</f>
        <v>0</v>
      </c>
      <c r="G235" s="176">
        <f>('Pivot Table for Data Exchange'!$O$307)*100</f>
        <v>0</v>
      </c>
      <c r="H235" s="168">
        <f>('Pivot Table for Data Exchange'!$O$310)*100</f>
        <v>0</v>
      </c>
      <c r="I235" s="206"/>
      <c r="J235" s="206"/>
      <c r="K235" s="206"/>
      <c r="L235" s="206"/>
      <c r="M235" s="206"/>
      <c r="N235" s="206"/>
      <c r="O235" s="206"/>
      <c r="P235" s="207"/>
      <c r="Q235" s="173">
        <f t="shared" si="34"/>
        <v>0</v>
      </c>
      <c r="R235" s="173"/>
      <c r="Z235" s="222"/>
      <c r="AA235" s="222"/>
      <c r="AB235" s="222"/>
      <c r="AC235" s="222"/>
      <c r="AD235" s="222"/>
      <c r="AE235" s="222"/>
      <c r="AF235" s="222"/>
      <c r="AG235" s="222"/>
      <c r="AH235" s="222"/>
      <c r="AI235" s="222"/>
      <c r="AJ235" s="222"/>
      <c r="AK235" s="222"/>
      <c r="AL235" s="222"/>
      <c r="AM235" s="222"/>
      <c r="AN235" s="222"/>
      <c r="AO235" s="222"/>
    </row>
    <row r="236" spans="1:41" ht="15.75" customHeight="1">
      <c r="A236" s="139" t="s">
        <v>627</v>
      </c>
      <c r="B236" s="168">
        <f>('Pivot Table for Data Exchange'!$O$331)*100</f>
        <v>32.011794498311886</v>
      </c>
      <c r="C236" s="168">
        <f>('Pivot Table for Data Exchange'!$O$334)*100</f>
        <v>3.8424795890363357</v>
      </c>
      <c r="D236" s="169">
        <f>SUM(E236:G236)</f>
        <v>64.145725912651784</v>
      </c>
      <c r="E236" s="168">
        <f>('Pivot Table for Data Exchange'!$O$337)*100</f>
        <v>64.145725912651784</v>
      </c>
      <c r="F236" s="168">
        <f>('Pivot Table for Data Exchange'!$O$340)*100</f>
        <v>0</v>
      </c>
      <c r="G236" s="176">
        <f>('Pivot Table for Data Exchange'!$O$343)*100</f>
        <v>0</v>
      </c>
      <c r="H236" s="168">
        <f>('Pivot Table for Data Exchange'!$O$346)*100</f>
        <v>0</v>
      </c>
      <c r="I236" s="206"/>
      <c r="J236" s="206"/>
      <c r="K236" s="206"/>
      <c r="L236" s="206"/>
      <c r="M236" s="206"/>
      <c r="N236" s="206"/>
      <c r="O236" s="206"/>
      <c r="P236" s="207"/>
      <c r="Q236" s="173">
        <f t="shared" si="34"/>
        <v>100</v>
      </c>
      <c r="R236" s="173"/>
      <c r="Z236" s="222"/>
      <c r="AA236" s="222"/>
      <c r="AB236" s="222"/>
      <c r="AC236" s="222"/>
      <c r="AD236" s="222"/>
      <c r="AE236" s="222"/>
      <c r="AF236" s="222"/>
      <c r="AG236" s="222"/>
      <c r="AH236" s="222"/>
      <c r="AI236" s="222"/>
      <c r="AJ236" s="222"/>
      <c r="AK236" s="222"/>
      <c r="AL236" s="222"/>
      <c r="AM236" s="222"/>
      <c r="AN236" s="222"/>
      <c r="AO236" s="222"/>
    </row>
    <row r="237" spans="1:41" ht="15.75" customHeight="1">
      <c r="A237" s="139" t="s">
        <v>628</v>
      </c>
      <c r="B237" s="168">
        <f>('Pivot Table for Data Exchange'!$O$367)*100</f>
        <v>0</v>
      </c>
      <c r="C237" s="168">
        <f>('Pivot Table for Data Exchange'!$O$370)*100</f>
        <v>0</v>
      </c>
      <c r="D237" s="169">
        <f>SUM(E237:G237)</f>
        <v>0</v>
      </c>
      <c r="E237" s="168">
        <f>('Pivot Table for Data Exchange'!$O$373)*100</f>
        <v>0</v>
      </c>
      <c r="F237" s="168">
        <f>('Pivot Table for Data Exchange'!$O$376)*100</f>
        <v>0</v>
      </c>
      <c r="G237" s="176">
        <f>('Pivot Table for Data Exchange'!$O$379)*100</f>
        <v>0</v>
      </c>
      <c r="H237" s="180">
        <f>('Pivot Table for Data Exchange'!$O$382)*100</f>
        <v>0</v>
      </c>
      <c r="I237" s="206"/>
      <c r="J237" s="206"/>
      <c r="K237" s="206"/>
      <c r="L237" s="206"/>
      <c r="M237" s="206"/>
      <c r="N237" s="206"/>
      <c r="O237" s="206"/>
      <c r="P237" s="207"/>
      <c r="Q237" s="173">
        <f t="shared" si="34"/>
        <v>0</v>
      </c>
      <c r="R237" s="173"/>
      <c r="Z237" s="222"/>
      <c r="AA237" s="222"/>
      <c r="AB237" s="222"/>
      <c r="AC237" s="222"/>
      <c r="AD237" s="222"/>
      <c r="AE237" s="222"/>
      <c r="AF237" s="222"/>
      <c r="AG237" s="222"/>
      <c r="AH237" s="222"/>
      <c r="AI237" s="222"/>
      <c r="AJ237" s="222"/>
      <c r="AK237" s="222"/>
      <c r="AL237" s="222"/>
      <c r="AM237" s="222"/>
      <c r="AN237" s="222"/>
      <c r="AO237" s="222"/>
    </row>
    <row r="238" spans="1:41" ht="15.75" customHeight="1">
      <c r="A238" s="139" t="s">
        <v>629</v>
      </c>
      <c r="B238" s="168">
        <f>('Pivot Table for Data Exchange'!$O$403)*100</f>
        <v>30.557314096123712</v>
      </c>
      <c r="C238" s="168">
        <f>('Pivot Table for Data Exchange'!$O$406)*100</f>
        <v>7.5032740617482983</v>
      </c>
      <c r="D238" s="169">
        <f>SUM(E238:G238)</f>
        <v>61.939411842127988</v>
      </c>
      <c r="E238" s="168">
        <f>('Pivot Table for Data Exchange'!$O$409)*100</f>
        <v>61.300619912846535</v>
      </c>
      <c r="F238" s="168">
        <f>('Pivot Table for Data Exchange'!$O$412)*100</f>
        <v>0.30796131515144654</v>
      </c>
      <c r="G238" s="176">
        <f>('Pivot Table for Data Exchange'!$O$415)*100</f>
        <v>0.3308306141300108</v>
      </c>
      <c r="H238" s="168">
        <f>('Pivot Table for Data Exchange'!$O$418)*100</f>
        <v>0</v>
      </c>
      <c r="I238" s="206"/>
      <c r="J238" s="206"/>
      <c r="K238" s="206"/>
      <c r="L238" s="206"/>
      <c r="M238" s="206"/>
      <c r="N238" s="206"/>
      <c r="O238" s="206"/>
      <c r="P238" s="207"/>
      <c r="Q238" s="173">
        <f t="shared" si="34"/>
        <v>100</v>
      </c>
      <c r="R238" s="173"/>
      <c r="Z238" s="222"/>
      <c r="AA238" s="222"/>
      <c r="AB238" s="222"/>
      <c r="AC238" s="222"/>
      <c r="AD238" s="222"/>
      <c r="AE238" s="222"/>
      <c r="AF238" s="222"/>
      <c r="AG238" s="222"/>
      <c r="AH238" s="222"/>
      <c r="AI238" s="222"/>
      <c r="AJ238" s="222"/>
      <c r="AK238" s="222"/>
      <c r="AL238" s="222"/>
      <c r="AM238" s="222"/>
      <c r="AN238" s="222"/>
      <c r="AO238" s="222"/>
    </row>
    <row r="239" spans="1:41" ht="10.5" customHeight="1">
      <c r="B239" s="168"/>
      <c r="C239" s="168"/>
      <c r="D239" s="169"/>
      <c r="E239" s="168"/>
      <c r="F239" s="168"/>
      <c r="G239" s="176"/>
      <c r="H239" s="168"/>
      <c r="I239" s="206"/>
      <c r="J239" s="206"/>
      <c r="K239" s="206"/>
      <c r="L239" s="206"/>
      <c r="M239" s="206"/>
      <c r="N239" s="206"/>
      <c r="O239" s="206"/>
      <c r="P239" s="207"/>
      <c r="Q239" s="173">
        <f t="shared" si="34"/>
        <v>0</v>
      </c>
      <c r="R239" s="173"/>
      <c r="Z239" s="222"/>
      <c r="AA239" s="222"/>
      <c r="AB239" s="222"/>
      <c r="AC239" s="222"/>
      <c r="AD239" s="222"/>
      <c r="AE239" s="222"/>
      <c r="AF239" s="222"/>
      <c r="AG239" s="222"/>
      <c r="AH239" s="222"/>
      <c r="AI239" s="222"/>
      <c r="AJ239" s="222"/>
      <c r="AK239" s="222"/>
      <c r="AL239" s="222"/>
      <c r="AM239" s="222"/>
      <c r="AN239" s="222"/>
      <c r="AO239" s="222"/>
    </row>
    <row r="240" spans="1:41" ht="15.75" customHeight="1">
      <c r="A240" s="139" t="s">
        <v>630</v>
      </c>
      <c r="B240" s="168">
        <f>('Pivot Table for Data Exchange'!$O$439)*100</f>
        <v>19.619739132314944</v>
      </c>
      <c r="C240" s="168">
        <f>('Pivot Table for Data Exchange'!$O$442)*100</f>
        <v>19.949945404815185</v>
      </c>
      <c r="D240" s="169">
        <f>SUM(E240:G240)</f>
        <v>60.254502751381096</v>
      </c>
      <c r="E240" s="168">
        <f>('Pivot Table for Data Exchange'!$O$445)*100</f>
        <v>45.616506664936921</v>
      </c>
      <c r="F240" s="168">
        <f>('Pivot Table for Data Exchange'!$O$448)*100</f>
        <v>1.0804170855901145</v>
      </c>
      <c r="G240" s="176">
        <f>('Pivot Table for Data Exchange'!$O$451)*100</f>
        <v>13.557579000854064</v>
      </c>
      <c r="H240" s="168">
        <f>('Pivot Table for Data Exchange'!$O$454)*100</f>
        <v>0.17581271148877284</v>
      </c>
      <c r="I240" s="206"/>
      <c r="J240" s="206"/>
      <c r="K240" s="206"/>
      <c r="L240" s="206"/>
      <c r="M240" s="206"/>
      <c r="N240" s="206"/>
      <c r="O240" s="206"/>
      <c r="P240" s="207"/>
      <c r="Q240" s="173">
        <f t="shared" si="34"/>
        <v>100</v>
      </c>
      <c r="R240" s="173"/>
      <c r="Z240" s="222"/>
      <c r="AA240" s="222"/>
      <c r="AB240" s="222"/>
      <c r="AC240" s="222"/>
      <c r="AD240" s="222"/>
      <c r="AE240" s="222"/>
      <c r="AF240" s="222"/>
      <c r="AG240" s="222"/>
      <c r="AH240" s="222"/>
      <c r="AI240" s="222"/>
      <c r="AJ240" s="222"/>
      <c r="AK240" s="222"/>
      <c r="AL240" s="222"/>
      <c r="AM240" s="222"/>
      <c r="AN240" s="222"/>
      <c r="AO240" s="222"/>
    </row>
    <row r="241" spans="1:41" ht="15.75" customHeight="1">
      <c r="A241" s="139" t="s">
        <v>631</v>
      </c>
      <c r="B241" s="168">
        <f>('Pivot Table for Data Exchange'!$O$475)*100</f>
        <v>32.266962837602762</v>
      </c>
      <c r="C241" s="168">
        <f>('Pivot Table for Data Exchange'!$O$478)*100</f>
        <v>8.9014461229104906</v>
      </c>
      <c r="D241" s="169">
        <f>SUM(E241:G241)</f>
        <v>58.831591039486746</v>
      </c>
      <c r="E241" s="168">
        <f>('Pivot Table for Data Exchange'!$O$481)*100</f>
        <v>57.85288899041673</v>
      </c>
      <c r="F241" s="168">
        <f>('Pivot Table for Data Exchange'!$O$484)*100</f>
        <v>0.90336162812872134</v>
      </c>
      <c r="G241" s="176">
        <f>('Pivot Table for Data Exchange'!$O$487)*100</f>
        <v>7.5340420941295852E-2</v>
      </c>
      <c r="H241" s="168">
        <f>('Pivot Table for Data Exchange'!$O$490)*100</f>
        <v>0</v>
      </c>
      <c r="I241" s="206"/>
      <c r="J241" s="206"/>
      <c r="K241" s="206"/>
      <c r="L241" s="206"/>
      <c r="M241" s="206"/>
      <c r="N241" s="206"/>
      <c r="O241" s="206"/>
      <c r="P241" s="207"/>
      <c r="Q241" s="173">
        <f t="shared" si="34"/>
        <v>100</v>
      </c>
      <c r="R241" s="173"/>
      <c r="Z241" s="222"/>
      <c r="AA241" s="222"/>
      <c r="AB241" s="222"/>
      <c r="AC241" s="222"/>
      <c r="AD241" s="222"/>
      <c r="AE241" s="222"/>
      <c r="AF241" s="222"/>
      <c r="AG241" s="222"/>
      <c r="AH241" s="222"/>
      <c r="AI241" s="222"/>
      <c r="AJ241" s="222"/>
      <c r="AK241" s="222"/>
      <c r="AL241" s="222"/>
      <c r="AM241" s="222"/>
      <c r="AN241" s="222"/>
      <c r="AO241" s="222"/>
    </row>
    <row r="242" spans="1:41" ht="15.75" customHeight="1">
      <c r="A242" s="139" t="s">
        <v>632</v>
      </c>
      <c r="B242" s="168">
        <f>('Pivot Table for Data Exchange'!$O$511)*100</f>
        <v>29.382171610734297</v>
      </c>
      <c r="C242" s="168">
        <f>('Pivot Table for Data Exchange'!$O$514)*100</f>
        <v>13.928850044758988</v>
      </c>
      <c r="D242" s="169">
        <f>SUM(E242:G242)</f>
        <v>56.688978344506708</v>
      </c>
      <c r="E242" s="168">
        <f>('Pivot Table for Data Exchange'!$O$517)*100</f>
        <v>51.472872404610037</v>
      </c>
      <c r="F242" s="168">
        <f>('Pivot Table for Data Exchange'!$O$520)*100</f>
        <v>4.4805992933972778</v>
      </c>
      <c r="G242" s="176">
        <f>('Pivot Table for Data Exchange'!$O$523)*100</f>
        <v>0.73550664649939801</v>
      </c>
      <c r="H242" s="168">
        <f>('Pivot Table for Data Exchange'!$O$526)*100</f>
        <v>0</v>
      </c>
      <c r="I242" s="206"/>
      <c r="J242" s="206"/>
      <c r="K242" s="206"/>
      <c r="L242" s="206"/>
      <c r="M242" s="206"/>
      <c r="N242" s="206"/>
      <c r="O242" s="206"/>
      <c r="P242" s="207"/>
      <c r="Q242" s="173">
        <f t="shared" si="34"/>
        <v>100</v>
      </c>
      <c r="R242" s="173"/>
      <c r="Z242" s="222"/>
      <c r="AA242" s="222"/>
      <c r="AB242" s="222"/>
      <c r="AC242" s="222"/>
      <c r="AD242" s="222"/>
      <c r="AE242" s="222"/>
      <c r="AF242" s="222"/>
      <c r="AG242" s="222"/>
      <c r="AH242" s="222"/>
      <c r="AI242" s="222"/>
      <c r="AJ242" s="222"/>
      <c r="AK242" s="222"/>
      <c r="AL242" s="222"/>
      <c r="AM242" s="222"/>
      <c r="AN242" s="222"/>
      <c r="AO242" s="222"/>
    </row>
    <row r="243" spans="1:41" ht="15.75" customHeight="1">
      <c r="A243" s="145" t="s">
        <v>633</v>
      </c>
      <c r="B243" s="181">
        <f>('Pivot Table for Data Exchange'!$O$547)*100</f>
        <v>44.729314199134976</v>
      </c>
      <c r="C243" s="181">
        <f>('Pivot Table for Data Exchange'!$O$550)*100</f>
        <v>6.8002607585215351</v>
      </c>
      <c r="D243" s="182">
        <f>SUM(E243:G243)</f>
        <v>48.470425042343493</v>
      </c>
      <c r="E243" s="181">
        <f>('Pivot Table for Data Exchange'!$O$553)*100</f>
        <v>47.20205511053959</v>
      </c>
      <c r="F243" s="181">
        <f>('Pivot Table for Data Exchange'!$O$556)*100</f>
        <v>0.8486558731689603</v>
      </c>
      <c r="G243" s="183">
        <f>('Pivot Table for Data Exchange'!$O$559)*100</f>
        <v>0.41971405863494698</v>
      </c>
      <c r="H243" s="181">
        <f>('Pivot Table for Data Exchange'!$O$562)*100</f>
        <v>0</v>
      </c>
      <c r="I243" s="206"/>
      <c r="J243" s="206"/>
      <c r="K243" s="206"/>
      <c r="L243" s="206"/>
      <c r="M243" s="206"/>
      <c r="N243" s="206"/>
      <c r="O243" s="206"/>
      <c r="P243" s="207"/>
      <c r="Q243" s="173">
        <f t="shared" si="34"/>
        <v>100</v>
      </c>
      <c r="R243" s="173"/>
      <c r="Z243" s="222"/>
      <c r="AA243" s="222"/>
      <c r="AB243" s="222"/>
      <c r="AC243" s="222"/>
      <c r="AD243" s="222"/>
      <c r="AE243" s="222"/>
      <c r="AF243" s="222"/>
      <c r="AG243" s="222"/>
      <c r="AH243" s="222"/>
      <c r="AI243" s="222"/>
      <c r="AJ243" s="222"/>
      <c r="AK243" s="222"/>
      <c r="AL243" s="222"/>
      <c r="AM243" s="222"/>
      <c r="AN243" s="222"/>
      <c r="AO243" s="222"/>
    </row>
    <row r="244" spans="1:41" s="212" customFormat="1" ht="12.75" customHeight="1">
      <c r="A244" s="187" t="s">
        <v>658</v>
      </c>
      <c r="B244" s="188"/>
      <c r="C244" s="188"/>
      <c r="D244" s="189"/>
      <c r="E244" s="188"/>
      <c r="F244" s="189"/>
      <c r="G244" s="189"/>
      <c r="H244" s="188"/>
      <c r="I244" s="197"/>
      <c r="J244" s="188"/>
      <c r="K244" s="188"/>
      <c r="L244" s="189"/>
      <c r="M244" s="188"/>
      <c r="N244" s="189"/>
      <c r="O244" s="189"/>
      <c r="P244" s="188"/>
      <c r="Q244" s="173">
        <f t="shared" si="34"/>
        <v>0</v>
      </c>
      <c r="R244" s="208"/>
      <c r="S244" s="225"/>
      <c r="T244" s="225"/>
      <c r="U244" s="225"/>
      <c r="V244" s="225"/>
      <c r="W244" s="225"/>
      <c r="X244" s="225"/>
      <c r="Y244" s="225"/>
      <c r="Z244" s="225"/>
      <c r="AA244" s="225"/>
      <c r="AB244" s="225"/>
      <c r="AC244" s="225"/>
      <c r="AD244" s="225"/>
      <c r="AE244" s="225"/>
      <c r="AF244" s="225"/>
      <c r="AG244" s="225"/>
      <c r="AH244" s="225"/>
      <c r="AI244" s="225"/>
      <c r="AJ244" s="225"/>
      <c r="AK244" s="225"/>
      <c r="AL244" s="225"/>
      <c r="AM244" s="225"/>
      <c r="AN244" s="225"/>
      <c r="AO244" s="225"/>
    </row>
    <row r="245" spans="1:41" s="212" customFormat="1" ht="24.75" customHeight="1">
      <c r="A245" s="492" t="s">
        <v>673</v>
      </c>
      <c r="B245" s="493"/>
      <c r="C245" s="493"/>
      <c r="D245" s="493"/>
      <c r="E245" s="493"/>
      <c r="F245" s="493"/>
      <c r="G245" s="493"/>
      <c r="H245" s="493"/>
      <c r="I245" s="197"/>
      <c r="J245" s="186"/>
      <c r="K245" s="186"/>
      <c r="L245" s="186"/>
      <c r="M245" s="186"/>
      <c r="N245" s="186"/>
      <c r="O245" s="186"/>
      <c r="P245" s="199"/>
      <c r="Q245" s="173">
        <f t="shared" si="34"/>
        <v>0</v>
      </c>
      <c r="R245" s="209"/>
    </row>
    <row r="246" spans="1:41" ht="12" customHeight="1">
      <c r="B246" s="210"/>
      <c r="C246" s="210"/>
      <c r="D246" s="211"/>
      <c r="E246" s="210"/>
      <c r="F246" s="211"/>
      <c r="G246" s="211"/>
      <c r="H246" s="210"/>
      <c r="I246" s="139"/>
      <c r="J246" s="210"/>
      <c r="K246" s="210"/>
      <c r="L246" s="211"/>
      <c r="M246" s="210"/>
      <c r="N246" s="211"/>
      <c r="O246" s="211"/>
      <c r="P246" s="210"/>
      <c r="Q246" s="173">
        <f t="shared" si="34"/>
        <v>0</v>
      </c>
      <c r="R246" s="173"/>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row>
    <row r="247" spans="1:41" s="212" customFormat="1">
      <c r="A247" s="186"/>
      <c r="B247" s="186"/>
      <c r="C247" s="186"/>
      <c r="D247" s="186"/>
      <c r="E247" s="186"/>
      <c r="F247" s="186"/>
      <c r="G247" s="186"/>
      <c r="H247" s="192" t="s">
        <v>923</v>
      </c>
      <c r="I247" s="186"/>
      <c r="J247" s="186"/>
      <c r="K247" s="186"/>
      <c r="L247" s="186"/>
      <c r="M247" s="186"/>
      <c r="N247" s="186"/>
      <c r="O247" s="186"/>
      <c r="P247" s="186"/>
      <c r="Q247" s="173">
        <f t="shared" si="34"/>
        <v>0</v>
      </c>
    </row>
    <row r="248" spans="1:41" ht="18">
      <c r="A248" s="134" t="s">
        <v>674</v>
      </c>
      <c r="B248" s="135"/>
      <c r="C248" s="135"/>
      <c r="D248" s="135"/>
      <c r="E248" s="135"/>
      <c r="F248" s="135"/>
      <c r="G248" s="135"/>
      <c r="H248" s="135"/>
      <c r="Q248" s="173">
        <f t="shared" si="34"/>
        <v>0</v>
      </c>
    </row>
    <row r="249" spans="1:41" ht="13">
      <c r="A249" s="140"/>
      <c r="B249" s="136"/>
      <c r="C249" s="136"/>
      <c r="D249" s="136"/>
      <c r="E249" s="136"/>
      <c r="F249" s="136"/>
      <c r="G249" s="136"/>
      <c r="H249" s="136"/>
      <c r="Q249" s="173">
        <f t="shared" si="34"/>
        <v>0</v>
      </c>
    </row>
    <row r="250" spans="1:41" ht="15.5">
      <c r="A250" s="142" t="s">
        <v>639</v>
      </c>
      <c r="B250" s="136"/>
      <c r="C250" s="136"/>
      <c r="D250" s="136"/>
      <c r="E250" s="136"/>
      <c r="F250" s="136"/>
      <c r="G250" s="136"/>
      <c r="H250" s="136"/>
      <c r="Q250" s="173">
        <f t="shared" si="34"/>
        <v>0</v>
      </c>
    </row>
    <row r="251" spans="1:41" ht="15.5">
      <c r="A251" s="142" t="s">
        <v>889</v>
      </c>
      <c r="B251" s="136"/>
      <c r="C251" s="136"/>
      <c r="D251" s="136"/>
      <c r="E251" s="136"/>
      <c r="F251" s="136"/>
      <c r="G251" s="136"/>
      <c r="H251" s="136"/>
      <c r="Q251" s="173">
        <f t="shared" si="34"/>
        <v>0</v>
      </c>
    </row>
    <row r="252" spans="1:41">
      <c r="A252" s="145"/>
      <c r="B252" s="146"/>
      <c r="C252" s="146"/>
      <c r="D252" s="146"/>
      <c r="E252" s="146"/>
      <c r="F252" s="146"/>
      <c r="G252" s="146"/>
      <c r="H252" s="146"/>
      <c r="Q252" s="173">
        <f t="shared" si="34"/>
        <v>0</v>
      </c>
    </row>
    <row r="253" spans="1:41">
      <c r="A253" s="150"/>
      <c r="B253" s="151" t="s">
        <v>641</v>
      </c>
      <c r="C253" s="151"/>
      <c r="D253" s="151"/>
      <c r="E253" s="151"/>
      <c r="F253" s="151"/>
      <c r="G253" s="151"/>
      <c r="H253" s="152"/>
      <c r="Q253" s="173">
        <f t="shared" si="34"/>
        <v>0</v>
      </c>
    </row>
    <row r="254" spans="1:41">
      <c r="A254" s="150"/>
      <c r="B254" s="151" t="s">
        <v>642</v>
      </c>
      <c r="C254" s="151"/>
      <c r="D254" s="487" t="s">
        <v>643</v>
      </c>
      <c r="E254" s="485"/>
      <c r="F254" s="485"/>
      <c r="G254" s="485"/>
      <c r="H254" s="158" t="s">
        <v>533</v>
      </c>
      <c r="Q254" s="173">
        <f t="shared" si="34"/>
        <v>0</v>
      </c>
    </row>
    <row r="255" spans="1:41" ht="34.5">
      <c r="A255" s="150"/>
      <c r="B255" s="159" t="s">
        <v>644</v>
      </c>
      <c r="C255" s="160" t="s">
        <v>645</v>
      </c>
      <c r="D255" s="161" t="s">
        <v>646</v>
      </c>
      <c r="E255" s="162" t="s">
        <v>8</v>
      </c>
      <c r="F255" s="159" t="s">
        <v>647</v>
      </c>
      <c r="G255" s="163" t="s">
        <v>656</v>
      </c>
      <c r="H255" s="164" t="s">
        <v>649</v>
      </c>
      <c r="Q255" s="173">
        <f t="shared" si="34"/>
        <v>0</v>
      </c>
    </row>
    <row r="256" spans="1:41" ht="15.75" customHeight="1">
      <c r="A256" s="194" t="s">
        <v>618</v>
      </c>
      <c r="B256" s="221">
        <f>('Pivot Table for Data Exchange'!$K$7)*100</f>
        <v>0</v>
      </c>
      <c r="C256" s="168">
        <f>('Pivot Table for Data Exchange'!$K$10)*100</f>
        <v>0</v>
      </c>
      <c r="D256" s="169">
        <f>SUM(E256:G256)</f>
        <v>0</v>
      </c>
      <c r="E256" s="168">
        <f>('Pivot Table for Data Exchange'!$K$13)*100</f>
        <v>0</v>
      </c>
      <c r="F256" s="168">
        <f>('Pivot Table for Data Exchange'!$K$16)*100</f>
        <v>0</v>
      </c>
      <c r="G256" s="172">
        <f>('Pivot Table for Data Exchange'!$K$19)*100</f>
        <v>0</v>
      </c>
      <c r="H256" s="168">
        <f>('Pivot Table for Data Exchange'!$K$22)*100</f>
        <v>0</v>
      </c>
      <c r="I256" s="139"/>
      <c r="J256" s="207"/>
      <c r="K256" s="207"/>
      <c r="L256" s="207"/>
      <c r="M256" s="207"/>
      <c r="N256" s="207"/>
      <c r="O256" s="207"/>
      <c r="P256" s="207"/>
      <c r="Q256" s="173">
        <f t="shared" si="34"/>
        <v>0</v>
      </c>
      <c r="R256" s="173"/>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row>
    <row r="257" spans="1:41" ht="15.75" customHeight="1">
      <c r="A257" s="139" t="s">
        <v>619</v>
      </c>
      <c r="B257" s="168">
        <f>('Pivot Table for Data Exchange'!$K$43)*100</f>
        <v>0</v>
      </c>
      <c r="C257" s="168">
        <f>('Pivot Table for Data Exchange'!$K$46)*100</f>
        <v>0</v>
      </c>
      <c r="D257" s="169">
        <f t="shared" ref="D257:D259" si="37">SUM(E257:G257)</f>
        <v>0</v>
      </c>
      <c r="E257" s="168">
        <f>('Pivot Table for Data Exchange'!$K$49)*100</f>
        <v>0</v>
      </c>
      <c r="F257" s="168">
        <f>('Pivot Table for Data Exchange'!$K$52)*100</f>
        <v>0</v>
      </c>
      <c r="G257" s="176">
        <f>('Pivot Table for Data Exchange'!$K$55)*100</f>
        <v>0</v>
      </c>
      <c r="H257" s="168">
        <f>('Pivot Table for Data Exchange'!$K$58)*100</f>
        <v>0</v>
      </c>
      <c r="I257" s="139"/>
      <c r="J257" s="207"/>
      <c r="K257" s="207"/>
      <c r="L257" s="207"/>
      <c r="M257" s="207"/>
      <c r="N257" s="207"/>
      <c r="O257" s="207"/>
      <c r="P257" s="207"/>
      <c r="Q257" s="173">
        <f t="shared" si="34"/>
        <v>0</v>
      </c>
      <c r="R257" s="173"/>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row>
    <row r="258" spans="1:41" ht="15.75" customHeight="1">
      <c r="A258" s="139" t="s">
        <v>620</v>
      </c>
      <c r="B258" s="168">
        <f>('Pivot Table for Data Exchange'!$K$79)*100</f>
        <v>0</v>
      </c>
      <c r="C258" s="168">
        <f>('Pivot Table for Data Exchange'!$K$82)*100</f>
        <v>0</v>
      </c>
      <c r="D258" s="169">
        <f t="shared" si="37"/>
        <v>0</v>
      </c>
      <c r="E258" s="168">
        <f>('Pivot Table for Data Exchange'!$K$85)*100</f>
        <v>0</v>
      </c>
      <c r="F258" s="168">
        <f>('Pivot Table for Data Exchange'!$K$88)*100</f>
        <v>0</v>
      </c>
      <c r="G258" s="176">
        <f>('Pivot Table for Data Exchange'!$K$91)*100</f>
        <v>0</v>
      </c>
      <c r="H258" s="168">
        <f>('Pivot Table for Data Exchange'!$K$94)*100</f>
        <v>0</v>
      </c>
      <c r="I258" s="139"/>
      <c r="J258" s="207"/>
      <c r="K258" s="207"/>
      <c r="L258" s="207"/>
      <c r="M258" s="207"/>
      <c r="N258" s="207"/>
      <c r="O258" s="207"/>
      <c r="P258" s="207"/>
      <c r="Q258" s="173">
        <f t="shared" si="34"/>
        <v>0</v>
      </c>
      <c r="R258" s="173"/>
      <c r="S258" s="222"/>
      <c r="T258" s="226"/>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row>
    <row r="259" spans="1:41" ht="15.75" customHeight="1">
      <c r="A259" s="139" t="s">
        <v>657</v>
      </c>
      <c r="B259" s="168">
        <f>('Pivot Table for Data Exchange'!$K$115)*100</f>
        <v>36.206881033365654</v>
      </c>
      <c r="C259" s="168">
        <f>('Pivot Table for Data Exchange'!$K$118)*100</f>
        <v>2.4914934369430455</v>
      </c>
      <c r="D259" s="169">
        <f t="shared" si="37"/>
        <v>61.260323965011061</v>
      </c>
      <c r="E259" s="168">
        <f>('Pivot Table for Data Exchange'!$K$121)*100</f>
        <v>48.813530788110675</v>
      </c>
      <c r="F259" s="168">
        <f>('Pivot Table for Data Exchange'!$K$124)*100</f>
        <v>12.412020251204281</v>
      </c>
      <c r="G259" s="176">
        <f>('Pivot Table for Data Exchange'!$K$127)*100</f>
        <v>3.4772925696101874E-2</v>
      </c>
      <c r="H259" s="180">
        <f>('Pivot Table for Data Exchange'!$K$130)*100</f>
        <v>4.1301564680240571E-2</v>
      </c>
      <c r="I259" s="139"/>
      <c r="J259" s="207"/>
      <c r="K259" s="207"/>
      <c r="L259" s="207"/>
      <c r="M259" s="207"/>
      <c r="N259" s="207"/>
      <c r="O259" s="207"/>
      <c r="P259" s="207"/>
      <c r="Q259" s="173">
        <f t="shared" si="34"/>
        <v>100</v>
      </c>
      <c r="R259" s="173"/>
      <c r="S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row>
    <row r="260" spans="1:41" ht="15.75" customHeight="1">
      <c r="B260" s="168"/>
      <c r="C260" s="168"/>
      <c r="D260" s="169"/>
      <c r="E260" s="168"/>
      <c r="F260" s="168"/>
      <c r="G260" s="176"/>
      <c r="H260" s="168"/>
      <c r="I260" s="139"/>
      <c r="J260" s="207"/>
      <c r="K260" s="207"/>
      <c r="L260" s="207"/>
      <c r="M260" s="207"/>
      <c r="N260" s="207"/>
      <c r="O260" s="207"/>
      <c r="P260" s="207"/>
      <c r="Q260" s="173">
        <f t="shared" si="34"/>
        <v>0</v>
      </c>
      <c r="R260" s="173"/>
      <c r="S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row>
    <row r="261" spans="1:41" ht="15.75" customHeight="1">
      <c r="A261" s="139" t="s">
        <v>622</v>
      </c>
      <c r="B261" s="168">
        <f>('Pivot Table for Data Exchange'!$K$151)*100</f>
        <v>36.683602170922207</v>
      </c>
      <c r="C261" s="168">
        <f>('Pivot Table for Data Exchange'!$K$154)*100</f>
        <v>11.089324854748259</v>
      </c>
      <c r="D261" s="169">
        <f t="shared" ref="D261:D262" si="38">SUM(E261:G261)</f>
        <v>52.227072974329538</v>
      </c>
      <c r="E261" s="168">
        <f>('Pivot Table for Data Exchange'!$K$157)*100</f>
        <v>52.227072974329538</v>
      </c>
      <c r="F261" s="168">
        <f>('Pivot Table for Data Exchange'!$K$160)*100</f>
        <v>0</v>
      </c>
      <c r="G261" s="176">
        <f>('Pivot Table for Data Exchange'!$K$163)*100</f>
        <v>0</v>
      </c>
      <c r="H261" s="180">
        <f>('Pivot Table for Data Exchange'!$K$166)*100</f>
        <v>0</v>
      </c>
      <c r="I261" s="139"/>
      <c r="J261" s="207"/>
      <c r="K261" s="207"/>
      <c r="L261" s="207"/>
      <c r="M261" s="207"/>
      <c r="N261" s="207"/>
      <c r="O261" s="207"/>
      <c r="P261" s="207"/>
      <c r="Q261" s="173">
        <f t="shared" si="34"/>
        <v>100</v>
      </c>
      <c r="R261" s="173"/>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row>
    <row r="262" spans="1:41" ht="15.75" customHeight="1">
      <c r="A262" s="139" t="s">
        <v>623</v>
      </c>
      <c r="B262" s="168">
        <f>('Pivot Table for Data Exchange'!$K$187)*100</f>
        <v>0</v>
      </c>
      <c r="C262" s="168">
        <f>('Pivot Table for Data Exchange'!$K$190)*100</f>
        <v>0</v>
      </c>
      <c r="D262" s="169">
        <f t="shared" si="38"/>
        <v>0</v>
      </c>
      <c r="E262" s="168">
        <f>('Pivot Table for Data Exchange'!$K$193)*100</f>
        <v>0</v>
      </c>
      <c r="F262" s="168">
        <f>('Pivot Table for Data Exchange'!$K$196)*100</f>
        <v>0</v>
      </c>
      <c r="G262" s="176">
        <f>('Pivot Table for Data Exchange'!$K$199)*100</f>
        <v>0</v>
      </c>
      <c r="H262" s="168">
        <f>('Pivot Table for Data Exchange'!$K$202)*100</f>
        <v>0</v>
      </c>
      <c r="I262" s="139"/>
      <c r="J262" s="207"/>
      <c r="K262" s="207"/>
      <c r="L262" s="207"/>
      <c r="M262" s="207"/>
      <c r="N262" s="207"/>
      <c r="O262" s="207"/>
      <c r="P262" s="207"/>
      <c r="Q262" s="173">
        <f t="shared" si="34"/>
        <v>0</v>
      </c>
      <c r="R262" s="173"/>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row>
    <row r="263" spans="1:41" ht="15.75" customHeight="1">
      <c r="A263" s="139" t="s">
        <v>624</v>
      </c>
      <c r="B263" s="168">
        <f>('Pivot Table for Data Exchange'!$K$223)*100</f>
        <v>0</v>
      </c>
      <c r="C263" s="168">
        <f>('Pivot Table for Data Exchange'!$K$226)*100</f>
        <v>0</v>
      </c>
      <c r="D263" s="169">
        <f>SUM(E263:G263)</f>
        <v>0</v>
      </c>
      <c r="E263" s="168">
        <f>('Pivot Table for Data Exchange'!$K$229)*100</f>
        <v>0</v>
      </c>
      <c r="F263" s="168">
        <f>('Pivot Table for Data Exchange'!$K$232)*100</f>
        <v>0</v>
      </c>
      <c r="G263" s="176">
        <f>('Pivot Table for Data Exchange'!$K$235)*100</f>
        <v>0</v>
      </c>
      <c r="H263" s="168">
        <f>('Pivot Table for Data Exchange'!$K$238)*100</f>
        <v>0</v>
      </c>
      <c r="I263" s="139"/>
      <c r="J263" s="207"/>
      <c r="K263" s="207"/>
      <c r="L263" s="207"/>
      <c r="M263" s="207"/>
      <c r="N263" s="207"/>
      <c r="O263" s="207"/>
      <c r="P263" s="207"/>
      <c r="Q263" s="173">
        <f t="shared" si="34"/>
        <v>0</v>
      </c>
      <c r="R263" s="173"/>
      <c r="S263" s="222"/>
      <c r="T263" s="226"/>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row>
    <row r="264" spans="1:41" ht="15.75" customHeight="1">
      <c r="A264" s="139" t="s">
        <v>625</v>
      </c>
      <c r="B264" s="168">
        <f>('Pivot Table for Data Exchange'!$K$259)*100</f>
        <v>0</v>
      </c>
      <c r="C264" s="168">
        <f>('Pivot Table for Data Exchange'!$K$262)*100</f>
        <v>0</v>
      </c>
      <c r="D264" s="169">
        <f>SUM(E264:G264)</f>
        <v>0</v>
      </c>
      <c r="E264" s="168">
        <f>('Pivot Table for Data Exchange'!$K$265)*100</f>
        <v>0</v>
      </c>
      <c r="F264" s="168">
        <f>('Pivot Table for Data Exchange'!$K$268)*100</f>
        <v>0</v>
      </c>
      <c r="G264" s="176">
        <f>('Pivot Table for Data Exchange'!$K$271)*100</f>
        <v>0</v>
      </c>
      <c r="H264" s="168">
        <f>('Pivot Table for Data Exchange'!$K$274)*100</f>
        <v>0</v>
      </c>
      <c r="I264" s="139"/>
      <c r="J264" s="207"/>
      <c r="K264" s="207"/>
      <c r="L264" s="207"/>
      <c r="M264" s="207"/>
      <c r="N264" s="207"/>
      <c r="O264" s="207"/>
      <c r="P264" s="207"/>
      <c r="Q264" s="173">
        <f t="shared" si="34"/>
        <v>0</v>
      </c>
      <c r="R264" s="173"/>
      <c r="S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row>
    <row r="265" spans="1:41" ht="15.75" customHeight="1">
      <c r="B265" s="168"/>
      <c r="C265" s="168"/>
      <c r="D265" s="169"/>
      <c r="E265" s="168"/>
      <c r="F265" s="168"/>
      <c r="G265" s="176"/>
      <c r="H265" s="168"/>
      <c r="I265" s="139"/>
      <c r="J265" s="207"/>
      <c r="K265" s="207"/>
      <c r="L265" s="207"/>
      <c r="M265" s="207"/>
      <c r="N265" s="207"/>
      <c r="O265" s="207"/>
      <c r="P265" s="207"/>
      <c r="Q265" s="173">
        <f t="shared" si="34"/>
        <v>0</v>
      </c>
      <c r="R265" s="173"/>
      <c r="S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row>
    <row r="266" spans="1:41" ht="15.75" customHeight="1">
      <c r="A266" s="139" t="s">
        <v>626</v>
      </c>
      <c r="B266" s="168">
        <f>('Pivot Table for Data Exchange'!$K$295)*100</f>
        <v>0</v>
      </c>
      <c r="C266" s="168">
        <f>('Pivot Table for Data Exchange'!$K$298)*100</f>
        <v>0</v>
      </c>
      <c r="D266" s="169">
        <f>SUM(E266:G266)</f>
        <v>0</v>
      </c>
      <c r="E266" s="168">
        <f>('Pivot Table for Data Exchange'!$K$301)*100</f>
        <v>0</v>
      </c>
      <c r="F266" s="168">
        <f>('Pivot Table for Data Exchange'!$K$304)*100</f>
        <v>0</v>
      </c>
      <c r="G266" s="176">
        <f>('Pivot Table for Data Exchange'!$K$307)*100</f>
        <v>0</v>
      </c>
      <c r="H266" s="168">
        <f>('Pivot Table for Data Exchange'!$K$310)*100</f>
        <v>0</v>
      </c>
      <c r="I266" s="139"/>
      <c r="J266" s="207"/>
      <c r="K266" s="207"/>
      <c r="L266" s="207"/>
      <c r="M266" s="207"/>
      <c r="N266" s="207"/>
      <c r="O266" s="207"/>
      <c r="P266" s="207"/>
      <c r="Q266" s="173">
        <f t="shared" si="34"/>
        <v>0</v>
      </c>
      <c r="R266" s="173"/>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row>
    <row r="267" spans="1:41" ht="15.75" customHeight="1">
      <c r="A267" s="139" t="s">
        <v>627</v>
      </c>
      <c r="B267" s="168">
        <f>('Pivot Table for Data Exchange'!$K$331)*100</f>
        <v>0</v>
      </c>
      <c r="C267" s="168">
        <f>('Pivot Table for Data Exchange'!$K$334)*100</f>
        <v>0</v>
      </c>
      <c r="D267" s="169">
        <f>SUM(E267:G267)</f>
        <v>0</v>
      </c>
      <c r="E267" s="168">
        <f>('Pivot Table for Data Exchange'!$K$337)*100</f>
        <v>0</v>
      </c>
      <c r="F267" s="168">
        <f>('Pivot Table for Data Exchange'!$K$340)*100</f>
        <v>0</v>
      </c>
      <c r="G267" s="176">
        <f>('Pivot Table for Data Exchange'!$K$343)*100</f>
        <v>0</v>
      </c>
      <c r="H267" s="168">
        <f>('Pivot Table for Data Exchange'!$K$346)*100</f>
        <v>0</v>
      </c>
      <c r="I267" s="139"/>
      <c r="J267" s="207"/>
      <c r="K267" s="207"/>
      <c r="L267" s="207"/>
      <c r="M267" s="207"/>
      <c r="N267" s="207"/>
      <c r="O267" s="207"/>
      <c r="P267" s="207"/>
      <c r="Q267" s="173">
        <f t="shared" si="34"/>
        <v>0</v>
      </c>
      <c r="R267" s="173"/>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row>
    <row r="268" spans="1:41" ht="15.75" customHeight="1">
      <c r="A268" s="139" t="s">
        <v>628</v>
      </c>
      <c r="B268" s="168">
        <f>('Pivot Table for Data Exchange'!$K$367)*100</f>
        <v>0</v>
      </c>
      <c r="C268" s="168">
        <f>('Pivot Table for Data Exchange'!$K$370)*100</f>
        <v>0</v>
      </c>
      <c r="D268" s="169">
        <f>SUM(E268:G268)</f>
        <v>0</v>
      </c>
      <c r="E268" s="168">
        <f>('Pivot Table for Data Exchange'!$K$373)*100</f>
        <v>0</v>
      </c>
      <c r="F268" s="168">
        <f>('Pivot Table for Data Exchange'!$K$376)*100</f>
        <v>0</v>
      </c>
      <c r="G268" s="176">
        <f>('Pivot Table for Data Exchange'!$K$379)*100</f>
        <v>0</v>
      </c>
      <c r="H268" s="168">
        <f>('Pivot Table for Data Exchange'!$K$382)*100</f>
        <v>0</v>
      </c>
      <c r="I268" s="139"/>
      <c r="J268" s="207"/>
      <c r="K268" s="207"/>
      <c r="L268" s="207"/>
      <c r="M268" s="207"/>
      <c r="N268" s="207"/>
      <c r="O268" s="207"/>
      <c r="P268" s="207"/>
      <c r="Q268" s="173">
        <f t="shared" si="34"/>
        <v>0</v>
      </c>
      <c r="R268" s="173"/>
      <c r="S268" s="222"/>
      <c r="T268" s="226"/>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row>
    <row r="269" spans="1:41" ht="15.75" customHeight="1">
      <c r="A269" s="139" t="s">
        <v>629</v>
      </c>
      <c r="B269" s="168">
        <f>('Pivot Table for Data Exchange'!$K$403)*100</f>
        <v>0</v>
      </c>
      <c r="C269" s="168">
        <f>('Pivot Table for Data Exchange'!$K$406)*100</f>
        <v>0</v>
      </c>
      <c r="D269" s="169">
        <f>SUM(E269:G269)</f>
        <v>0</v>
      </c>
      <c r="E269" s="168">
        <f>('Pivot Table for Data Exchange'!$K$409)*100</f>
        <v>0</v>
      </c>
      <c r="F269" s="168">
        <f>('Pivot Table for Data Exchange'!$K$412)*100</f>
        <v>0</v>
      </c>
      <c r="G269" s="176">
        <f>('Pivot Table for Data Exchange'!$K$415)*100</f>
        <v>0</v>
      </c>
      <c r="H269" s="168">
        <f>('Pivot Table for Data Exchange'!$K$418)*100</f>
        <v>0</v>
      </c>
      <c r="I269" s="139"/>
      <c r="J269" s="207"/>
      <c r="K269" s="207"/>
      <c r="L269" s="207"/>
      <c r="M269" s="207"/>
      <c r="N269" s="207"/>
      <c r="O269" s="207"/>
      <c r="P269" s="207"/>
      <c r="Q269" s="173">
        <f t="shared" si="34"/>
        <v>0</v>
      </c>
      <c r="R269" s="173"/>
      <c r="S269" s="222"/>
      <c r="T269" s="222"/>
      <c r="U269" s="222"/>
      <c r="V269" s="222"/>
      <c r="W269" s="222"/>
      <c r="X269" s="222"/>
      <c r="Y269" s="222"/>
      <c r="Z269" s="222"/>
      <c r="AA269" s="222"/>
      <c r="AB269" s="222"/>
      <c r="AC269" s="222"/>
      <c r="AD269" s="222"/>
      <c r="AE269" s="222"/>
      <c r="AF269" s="222"/>
      <c r="AG269" s="222"/>
      <c r="AH269" s="222"/>
      <c r="AI269" s="222"/>
      <c r="AJ269" s="222"/>
      <c r="AK269" s="222"/>
      <c r="AL269" s="222"/>
      <c r="AM269" s="222"/>
      <c r="AN269" s="222"/>
      <c r="AO269" s="222"/>
    </row>
    <row r="270" spans="1:41" ht="15.75" customHeight="1">
      <c r="B270" s="168"/>
      <c r="C270" s="168"/>
      <c r="D270" s="169"/>
      <c r="E270" s="168"/>
      <c r="F270" s="168"/>
      <c r="G270" s="176"/>
      <c r="H270" s="168"/>
      <c r="I270" s="139"/>
      <c r="J270" s="207"/>
      <c r="K270" s="207"/>
      <c r="L270" s="207"/>
      <c r="M270" s="207"/>
      <c r="N270" s="207"/>
      <c r="O270" s="207"/>
      <c r="P270" s="207"/>
      <c r="Q270" s="173">
        <f t="shared" si="34"/>
        <v>0</v>
      </c>
      <c r="R270" s="173"/>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row>
    <row r="271" spans="1:41" ht="15.75" customHeight="1">
      <c r="A271" s="139" t="s">
        <v>630</v>
      </c>
      <c r="B271" s="168">
        <f>('Pivot Table for Data Exchange'!$K$439)*100</f>
        <v>0</v>
      </c>
      <c r="C271" s="168">
        <f>('Pivot Table for Data Exchange'!$K$442)*100</f>
        <v>0</v>
      </c>
      <c r="D271" s="169">
        <f>SUM(E271:G271)</f>
        <v>0</v>
      </c>
      <c r="E271" s="168">
        <f>('Pivot Table for Data Exchange'!$K$445)*100</f>
        <v>0</v>
      </c>
      <c r="F271" s="168">
        <f>('Pivot Table for Data Exchange'!$K$448)*100</f>
        <v>0</v>
      </c>
      <c r="G271" s="176">
        <f>('Pivot Table for Data Exchange'!$K$451)*100</f>
        <v>0</v>
      </c>
      <c r="H271" s="168">
        <f>('Pivot Table for Data Exchange'!$K$454)*100</f>
        <v>0</v>
      </c>
      <c r="I271" s="139"/>
      <c r="J271" s="207"/>
      <c r="K271" s="207"/>
      <c r="L271" s="207"/>
      <c r="M271" s="207"/>
      <c r="N271" s="207"/>
      <c r="O271" s="207"/>
      <c r="P271" s="207"/>
      <c r="Q271" s="173">
        <f t="shared" si="34"/>
        <v>0</v>
      </c>
      <c r="R271" s="173"/>
      <c r="S271" s="222"/>
      <c r="T271" s="222"/>
      <c r="U271" s="222"/>
      <c r="V271" s="222"/>
      <c r="W271" s="222"/>
      <c r="X271" s="222"/>
      <c r="Y271" s="222"/>
      <c r="Z271" s="222"/>
      <c r="AA271" s="222"/>
      <c r="AB271" s="222"/>
      <c r="AC271" s="222"/>
      <c r="AD271" s="222"/>
      <c r="AE271" s="222"/>
      <c r="AF271" s="222"/>
      <c r="AG271" s="222"/>
      <c r="AH271" s="222"/>
      <c r="AI271" s="222"/>
      <c r="AJ271" s="222"/>
      <c r="AK271" s="222"/>
      <c r="AL271" s="222"/>
      <c r="AM271" s="222"/>
      <c r="AN271" s="222"/>
      <c r="AO271" s="222"/>
    </row>
    <row r="272" spans="1:41" ht="15.75" customHeight="1">
      <c r="A272" s="139" t="s">
        <v>631</v>
      </c>
      <c r="B272" s="168">
        <f>('Pivot Table for Data Exchange'!$K$475)*100</f>
        <v>35.51734818245324</v>
      </c>
      <c r="C272" s="168">
        <f>('Pivot Table for Data Exchange'!$K$478)*100</f>
        <v>1.4810683106891405</v>
      </c>
      <c r="D272" s="169">
        <f>SUM(E272:G272)</f>
        <v>63.001583506857621</v>
      </c>
      <c r="E272" s="168">
        <f>('Pivot Table for Data Exchange'!$K$481)*100</f>
        <v>62.915905193392987</v>
      </c>
      <c r="F272" s="168">
        <f>('Pivot Table for Data Exchange'!$K$484)*100</f>
        <v>8.5678313464635239E-2</v>
      </c>
      <c r="G272" s="175">
        <f>('Pivot Table for Data Exchange'!$K$487)*100</f>
        <v>0</v>
      </c>
      <c r="H272" s="168">
        <f>('Pivot Table for Data Exchange'!$K$490)*100</f>
        <v>0</v>
      </c>
      <c r="I272" s="139"/>
      <c r="J272" s="207"/>
      <c r="K272" s="207"/>
      <c r="L272" s="207"/>
      <c r="M272" s="207"/>
      <c r="N272" s="207"/>
      <c r="O272" s="207"/>
      <c r="P272" s="207"/>
      <c r="Q272" s="173">
        <f t="shared" si="34"/>
        <v>100</v>
      </c>
      <c r="R272" s="173"/>
      <c r="S272" s="222"/>
      <c r="T272" s="222"/>
      <c r="U272" s="222"/>
      <c r="V272" s="222"/>
      <c r="W272" s="222"/>
      <c r="X272" s="222"/>
      <c r="Y272" s="222"/>
      <c r="Z272" s="222"/>
      <c r="AA272" s="222"/>
      <c r="AB272" s="222"/>
      <c r="AC272" s="222"/>
      <c r="AD272" s="222"/>
      <c r="AE272" s="222"/>
      <c r="AF272" s="222"/>
      <c r="AG272" s="222"/>
      <c r="AH272" s="222"/>
      <c r="AI272" s="222"/>
      <c r="AJ272" s="222"/>
      <c r="AK272" s="222"/>
      <c r="AL272" s="222"/>
      <c r="AM272" s="222"/>
      <c r="AN272" s="222"/>
      <c r="AO272" s="222"/>
    </row>
    <row r="273" spans="1:41" ht="15.75" customHeight="1">
      <c r="A273" s="139" t="s">
        <v>632</v>
      </c>
      <c r="B273" s="168">
        <f>('Pivot Table for Data Exchange'!$K$511)*100</f>
        <v>0</v>
      </c>
      <c r="C273" s="168">
        <f>('Pivot Table for Data Exchange'!$K$514)*100</f>
        <v>0</v>
      </c>
      <c r="D273" s="169">
        <f>SUM(E273:G273)</f>
        <v>0</v>
      </c>
      <c r="E273" s="168">
        <f>('Pivot Table for Data Exchange'!$K$517)*100</f>
        <v>0</v>
      </c>
      <c r="F273" s="168">
        <f>('Pivot Table for Data Exchange'!$K$520)*100</f>
        <v>0</v>
      </c>
      <c r="G273" s="176">
        <f>('Pivot Table for Data Exchange'!$K$523)*100</f>
        <v>0</v>
      </c>
      <c r="H273" s="168">
        <f>('Pivot Table for Data Exchange'!$K$526)*100</f>
        <v>0</v>
      </c>
      <c r="I273" s="139"/>
      <c r="J273" s="207"/>
      <c r="K273" s="207"/>
      <c r="L273" s="207"/>
      <c r="M273" s="207"/>
      <c r="N273" s="207"/>
      <c r="O273" s="207"/>
      <c r="P273" s="207"/>
      <c r="Q273" s="173">
        <f t="shared" si="34"/>
        <v>0</v>
      </c>
      <c r="R273" s="173"/>
      <c r="S273" s="222"/>
      <c r="T273" s="222"/>
      <c r="U273" s="222"/>
      <c r="V273" s="222"/>
      <c r="W273" s="222"/>
      <c r="X273" s="222"/>
      <c r="Y273" s="222"/>
      <c r="Z273" s="222"/>
      <c r="AA273" s="222"/>
      <c r="AB273" s="222"/>
      <c r="AC273" s="222"/>
      <c r="AD273" s="222"/>
      <c r="AE273" s="222"/>
      <c r="AF273" s="222"/>
      <c r="AG273" s="222"/>
      <c r="AH273" s="222"/>
      <c r="AI273" s="222"/>
      <c r="AJ273" s="222"/>
      <c r="AK273" s="222"/>
      <c r="AL273" s="222"/>
      <c r="AM273" s="222"/>
      <c r="AN273" s="222"/>
      <c r="AO273" s="222"/>
    </row>
    <row r="274" spans="1:41" ht="15.75" customHeight="1">
      <c r="A274" s="145" t="s">
        <v>633</v>
      </c>
      <c r="B274" s="181">
        <f>('Pivot Table for Data Exchange'!$K$547)*100</f>
        <v>55.62799594126497</v>
      </c>
      <c r="C274" s="181">
        <f>('Pivot Table for Data Exchange'!$K$550)*100</f>
        <v>6.5592890215882713</v>
      </c>
      <c r="D274" s="182">
        <f>SUM(E274:G274)</f>
        <v>37.812715037146759</v>
      </c>
      <c r="E274" s="181">
        <f>('Pivot Table for Data Exchange'!$K$553)*100</f>
        <v>37.809216127640219</v>
      </c>
      <c r="F274" s="181">
        <f>('Pivot Table for Data Exchange'!$K$556)*100</f>
        <v>0</v>
      </c>
      <c r="G274" s="183">
        <f>('Pivot Table for Data Exchange'!$K$559)*100</f>
        <v>3.4989095065371292E-3</v>
      </c>
      <c r="H274" s="181">
        <f>('Pivot Table for Data Exchange'!$K$562)*100</f>
        <v>0</v>
      </c>
      <c r="I274" s="139"/>
      <c r="J274" s="207"/>
      <c r="K274" s="207"/>
      <c r="L274" s="207"/>
      <c r="M274" s="207"/>
      <c r="N274" s="207"/>
      <c r="O274" s="207"/>
      <c r="P274" s="207"/>
      <c r="Q274" s="173">
        <f t="shared" si="34"/>
        <v>100</v>
      </c>
      <c r="R274" s="173"/>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row>
    <row r="275" spans="1:41" s="212" customFormat="1" ht="12.75" customHeight="1">
      <c r="A275" s="187" t="s">
        <v>658</v>
      </c>
      <c r="B275" s="188"/>
      <c r="C275" s="188"/>
      <c r="D275" s="189"/>
      <c r="E275" s="188"/>
      <c r="F275" s="189"/>
      <c r="G275" s="189"/>
      <c r="H275" s="188"/>
      <c r="I275" s="197"/>
      <c r="J275" s="188"/>
      <c r="K275" s="188"/>
      <c r="L275" s="189"/>
      <c r="M275" s="188"/>
      <c r="N275" s="189"/>
      <c r="O275" s="189"/>
      <c r="P275" s="188"/>
      <c r="Q275" s="173">
        <f t="shared" si="34"/>
        <v>0</v>
      </c>
      <c r="R275" s="208"/>
      <c r="S275" s="225"/>
      <c r="T275" s="225"/>
      <c r="U275" s="225"/>
      <c r="V275" s="225"/>
      <c r="W275" s="225"/>
      <c r="X275" s="225"/>
      <c r="Y275" s="225"/>
      <c r="Z275" s="225"/>
      <c r="AA275" s="225"/>
      <c r="AB275" s="225"/>
      <c r="AC275" s="225"/>
      <c r="AD275" s="225"/>
      <c r="AE275" s="225"/>
      <c r="AF275" s="225"/>
      <c r="AG275" s="225"/>
      <c r="AH275" s="225"/>
      <c r="AI275" s="225"/>
      <c r="AJ275" s="225"/>
      <c r="AK275" s="225"/>
      <c r="AL275" s="225"/>
      <c r="AM275" s="225"/>
      <c r="AN275" s="225"/>
      <c r="AO275" s="225"/>
    </row>
    <row r="276" spans="1:41" s="212" customFormat="1" ht="27" customHeight="1">
      <c r="A276" s="492" t="s">
        <v>675</v>
      </c>
      <c r="B276" s="493"/>
      <c r="C276" s="493"/>
      <c r="D276" s="493"/>
      <c r="E276" s="493"/>
      <c r="F276" s="493"/>
      <c r="G276" s="493"/>
      <c r="H276" s="493"/>
      <c r="I276" s="197"/>
      <c r="J276" s="186"/>
      <c r="K276" s="186"/>
      <c r="L276" s="186"/>
      <c r="M276" s="186"/>
      <c r="N276" s="186"/>
      <c r="O276" s="186"/>
      <c r="P276" s="199"/>
      <c r="Q276" s="173">
        <f t="shared" si="34"/>
        <v>0</v>
      </c>
      <c r="R276" s="209"/>
    </row>
    <row r="277" spans="1:41" s="212" customFormat="1" ht="13.5" customHeight="1">
      <c r="A277" s="139"/>
      <c r="B277" s="210"/>
      <c r="C277" s="210"/>
      <c r="D277" s="211"/>
      <c r="E277" s="210"/>
      <c r="F277" s="211"/>
      <c r="G277" s="211"/>
      <c r="H277" s="210"/>
      <c r="I277" s="197"/>
      <c r="J277" s="186"/>
      <c r="K277" s="186"/>
      <c r="L277" s="186"/>
      <c r="M277" s="186"/>
      <c r="N277" s="186"/>
      <c r="O277" s="186"/>
      <c r="P277" s="186"/>
      <c r="Q277" s="173">
        <f t="shared" si="34"/>
        <v>0</v>
      </c>
      <c r="R277" s="209"/>
    </row>
    <row r="278" spans="1:41" s="212" customFormat="1">
      <c r="A278" s="186"/>
      <c r="B278" s="186"/>
      <c r="C278" s="186"/>
      <c r="D278" s="186"/>
      <c r="E278" s="186"/>
      <c r="F278" s="186"/>
      <c r="G278" s="186"/>
      <c r="H278" s="192" t="s">
        <v>923</v>
      </c>
      <c r="I278" s="213"/>
      <c r="J278" s="186"/>
      <c r="K278" s="186"/>
      <c r="L278" s="186"/>
      <c r="M278" s="186"/>
      <c r="N278" s="186"/>
      <c r="O278" s="186"/>
      <c r="P278" s="186"/>
      <c r="Q278" s="173">
        <f t="shared" si="34"/>
        <v>0</v>
      </c>
      <c r="R278" s="209"/>
    </row>
    <row r="279" spans="1:41" ht="18">
      <c r="A279" s="134" t="s">
        <v>676</v>
      </c>
      <c r="B279" s="135"/>
      <c r="C279" s="135"/>
      <c r="D279" s="135"/>
      <c r="E279" s="135"/>
      <c r="F279" s="135"/>
      <c r="G279" s="135"/>
      <c r="H279" s="135"/>
      <c r="Q279" s="173">
        <f t="shared" si="34"/>
        <v>0</v>
      </c>
    </row>
    <row r="280" spans="1:41" ht="13">
      <c r="A280" s="140"/>
      <c r="B280" s="136"/>
      <c r="C280" s="136"/>
      <c r="D280" s="136"/>
      <c r="E280" s="136"/>
      <c r="F280" s="136"/>
      <c r="G280" s="136"/>
      <c r="H280" s="136"/>
      <c r="Q280" s="173">
        <f t="shared" si="34"/>
        <v>0</v>
      </c>
    </row>
    <row r="281" spans="1:41" ht="15.5">
      <c r="A281" s="142" t="s">
        <v>639</v>
      </c>
      <c r="B281" s="136"/>
      <c r="C281" s="136"/>
      <c r="D281" s="136"/>
      <c r="E281" s="136"/>
      <c r="F281" s="136"/>
      <c r="G281" s="136"/>
      <c r="H281" s="136"/>
      <c r="Q281" s="173">
        <f t="shared" si="34"/>
        <v>0</v>
      </c>
    </row>
    <row r="282" spans="1:41" ht="15.5">
      <c r="A282" s="142" t="s">
        <v>890</v>
      </c>
      <c r="B282" s="136"/>
      <c r="C282" s="136"/>
      <c r="D282" s="136"/>
      <c r="E282" s="136"/>
      <c r="F282" s="136"/>
      <c r="G282" s="136"/>
      <c r="H282" s="136"/>
      <c r="Q282" s="173">
        <f t="shared" ref="Q282:Q346" si="39">SUM(B282,C282,D282,H282)</f>
        <v>0</v>
      </c>
    </row>
    <row r="283" spans="1:41">
      <c r="A283" s="145"/>
      <c r="B283" s="146"/>
      <c r="C283" s="146"/>
      <c r="D283" s="146"/>
      <c r="E283" s="146"/>
      <c r="F283" s="146"/>
      <c r="G283" s="146"/>
      <c r="H283" s="146"/>
      <c r="Q283" s="173">
        <f t="shared" si="39"/>
        <v>0</v>
      </c>
    </row>
    <row r="284" spans="1:41">
      <c r="A284" s="150"/>
      <c r="B284" s="151" t="s">
        <v>641</v>
      </c>
      <c r="C284" s="151"/>
      <c r="D284" s="151"/>
      <c r="E284" s="151"/>
      <c r="F284" s="151"/>
      <c r="G284" s="151"/>
      <c r="H284" s="152"/>
      <c r="Q284" s="173">
        <f t="shared" si="39"/>
        <v>0</v>
      </c>
    </row>
    <row r="285" spans="1:41">
      <c r="A285" s="150"/>
      <c r="B285" s="151" t="s">
        <v>642</v>
      </c>
      <c r="C285" s="151"/>
      <c r="D285" s="487" t="s">
        <v>643</v>
      </c>
      <c r="E285" s="485"/>
      <c r="F285" s="485"/>
      <c r="G285" s="485"/>
      <c r="H285" s="158" t="s">
        <v>533</v>
      </c>
      <c r="Q285" s="173">
        <f t="shared" si="39"/>
        <v>0</v>
      </c>
    </row>
    <row r="286" spans="1:41" ht="34.5">
      <c r="A286" s="150"/>
      <c r="B286" s="159" t="s">
        <v>644</v>
      </c>
      <c r="C286" s="160" t="s">
        <v>645</v>
      </c>
      <c r="D286" s="161" t="s">
        <v>646</v>
      </c>
      <c r="E286" s="162" t="s">
        <v>8</v>
      </c>
      <c r="F286" s="159" t="s">
        <v>647</v>
      </c>
      <c r="G286" s="163" t="s">
        <v>656</v>
      </c>
      <c r="H286" s="164" t="s">
        <v>649</v>
      </c>
      <c r="Q286" s="173">
        <f t="shared" si="39"/>
        <v>0</v>
      </c>
    </row>
    <row r="287" spans="1:41" ht="15.75" customHeight="1">
      <c r="A287" s="194" t="s">
        <v>618</v>
      </c>
      <c r="B287" s="221">
        <f>('Pivot Table for Data Exchange'!$L$7)*100</f>
        <v>39.900715882219558</v>
      </c>
      <c r="C287" s="168">
        <f>('Pivot Table for Data Exchange'!$L$10)*100</f>
        <v>4.1620776780797515</v>
      </c>
      <c r="D287" s="169">
        <f>SUM(E287:G287)</f>
        <v>55.937206439700695</v>
      </c>
      <c r="E287" s="168">
        <f>('Pivot Table for Data Exchange'!$L$13)*100</f>
        <v>55.799131871335561</v>
      </c>
      <c r="F287" s="168">
        <f>('Pivot Table for Data Exchange'!$L$16)*100</f>
        <v>0</v>
      </c>
      <c r="G287" s="172">
        <f>('Pivot Table for Data Exchange'!$L$19)*100</f>
        <v>0.13807456836513232</v>
      </c>
      <c r="H287" s="168">
        <f>('Pivot Table for Data Exchange'!$L$22)*100</f>
        <v>0</v>
      </c>
      <c r="I287" s="139"/>
      <c r="J287" s="207"/>
      <c r="K287" s="207"/>
      <c r="L287" s="207"/>
      <c r="M287" s="207"/>
      <c r="N287" s="207"/>
      <c r="O287" s="207"/>
      <c r="P287" s="207"/>
      <c r="Q287" s="173">
        <f t="shared" si="39"/>
        <v>100</v>
      </c>
      <c r="R287" s="173"/>
      <c r="S287" s="222"/>
      <c r="T287" s="222"/>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row>
    <row r="288" spans="1:41" ht="15.75" customHeight="1">
      <c r="A288" s="139" t="s">
        <v>619</v>
      </c>
      <c r="B288" s="168">
        <f>('Pivot Table for Data Exchange'!$L$43)*100</f>
        <v>52.73117285987724</v>
      </c>
      <c r="C288" s="168">
        <f>('Pivot Table for Data Exchange'!$L$46)*100</f>
        <v>11.94310606560623</v>
      </c>
      <c r="D288" s="169">
        <f t="shared" ref="D288:D290" si="40">SUM(E288:G288)</f>
        <v>35.325721074516537</v>
      </c>
      <c r="E288" s="168">
        <f>('Pivot Table for Data Exchange'!$L$49)*100</f>
        <v>35.325721074516537</v>
      </c>
      <c r="F288" s="180">
        <f>('Pivot Table for Data Exchange'!$L$52)*100</f>
        <v>0</v>
      </c>
      <c r="G288" s="176">
        <f>('Pivot Table for Data Exchange'!$L$55)*100</f>
        <v>0</v>
      </c>
      <c r="H288" s="168">
        <f>('Pivot Table for Data Exchange'!$L$58)*100</f>
        <v>0</v>
      </c>
      <c r="I288" s="139"/>
      <c r="J288" s="207"/>
      <c r="K288" s="207"/>
      <c r="L288" s="207"/>
      <c r="M288" s="207"/>
      <c r="N288" s="207"/>
      <c r="O288" s="207"/>
      <c r="P288" s="207"/>
      <c r="Q288" s="173">
        <f t="shared" si="39"/>
        <v>100</v>
      </c>
      <c r="R288" s="173"/>
      <c r="S288" s="222"/>
      <c r="T288" s="222"/>
      <c r="U288" s="222"/>
      <c r="V288" s="222"/>
      <c r="W288" s="222"/>
      <c r="X288" s="222"/>
      <c r="Y288" s="222"/>
      <c r="Z288" s="222"/>
      <c r="AA288" s="222"/>
      <c r="AB288" s="222"/>
      <c r="AC288" s="222"/>
      <c r="AD288" s="222"/>
      <c r="AE288" s="222"/>
      <c r="AF288" s="222"/>
      <c r="AG288" s="222"/>
      <c r="AH288" s="222"/>
      <c r="AI288" s="222"/>
      <c r="AJ288" s="222"/>
      <c r="AK288" s="222"/>
      <c r="AL288" s="222"/>
      <c r="AM288" s="222"/>
      <c r="AN288" s="222"/>
      <c r="AO288" s="222"/>
    </row>
    <row r="289" spans="1:41" ht="15.75" customHeight="1">
      <c r="A289" s="139" t="s">
        <v>620</v>
      </c>
      <c r="B289" s="168">
        <f>('Pivot Table for Data Exchange'!$L$79)*100</f>
        <v>0</v>
      </c>
      <c r="C289" s="168">
        <f>('Pivot Table for Data Exchange'!$L$82)*100</f>
        <v>0</v>
      </c>
      <c r="D289" s="169">
        <f t="shared" si="40"/>
        <v>0</v>
      </c>
      <c r="E289" s="168">
        <f>('Pivot Table for Data Exchange'!$L$85)*100</f>
        <v>0</v>
      </c>
      <c r="F289" s="168">
        <f>('Pivot Table for Data Exchange'!$L$88)*100</f>
        <v>0</v>
      </c>
      <c r="G289" s="175">
        <f>('Pivot Table for Data Exchange'!$L$91)*100</f>
        <v>0</v>
      </c>
      <c r="H289" s="168">
        <f>('Pivot Table for Data Exchange'!$L$94)*100</f>
        <v>0</v>
      </c>
      <c r="I289" s="139"/>
      <c r="J289" s="207"/>
      <c r="K289" s="207"/>
      <c r="L289" s="207"/>
      <c r="M289" s="207"/>
      <c r="N289" s="207"/>
      <c r="O289" s="207"/>
      <c r="P289" s="207"/>
      <c r="Q289" s="173">
        <f t="shared" si="39"/>
        <v>0</v>
      </c>
      <c r="R289" s="173"/>
      <c r="S289" s="222"/>
      <c r="T289" s="226"/>
      <c r="U289" s="222"/>
      <c r="V289" s="222"/>
      <c r="W289" s="222"/>
      <c r="X289" s="222"/>
      <c r="Y289" s="222"/>
      <c r="Z289" s="222"/>
      <c r="AA289" s="222"/>
      <c r="AB289" s="222"/>
      <c r="AC289" s="222"/>
      <c r="AD289" s="222"/>
      <c r="AE289" s="222"/>
      <c r="AF289" s="222"/>
      <c r="AG289" s="222"/>
      <c r="AH289" s="222"/>
      <c r="AI289" s="222"/>
      <c r="AJ289" s="222"/>
      <c r="AK289" s="222"/>
      <c r="AL289" s="222"/>
      <c r="AM289" s="222"/>
      <c r="AN289" s="222"/>
      <c r="AO289" s="222"/>
    </row>
    <row r="290" spans="1:41" ht="15.75" customHeight="1">
      <c r="A290" s="139" t="s">
        <v>657</v>
      </c>
      <c r="B290" s="168">
        <f>('Pivot Table for Data Exchange'!$L$115)*100</f>
        <v>31.194785856391356</v>
      </c>
      <c r="C290" s="168">
        <f>('Pivot Table for Data Exchange'!$L$118)*100</f>
        <v>5.1731334903760482</v>
      </c>
      <c r="D290" s="169">
        <f t="shared" si="40"/>
        <v>63.632080653232606</v>
      </c>
      <c r="E290" s="168">
        <f>('Pivot Table for Data Exchange'!$L$121)*100</f>
        <v>63.632080653232606</v>
      </c>
      <c r="F290" s="168">
        <f>('Pivot Table for Data Exchange'!$L$124)*100</f>
        <v>0</v>
      </c>
      <c r="G290" s="176">
        <f>('Pivot Table for Data Exchange'!$L$127)*100</f>
        <v>0</v>
      </c>
      <c r="H290" s="180">
        <f>('Pivot Table for Data Exchange'!$L$130)*100</f>
        <v>0</v>
      </c>
      <c r="I290" s="139"/>
      <c r="J290" s="207"/>
      <c r="K290" s="207"/>
      <c r="L290" s="207"/>
      <c r="M290" s="207"/>
      <c r="N290" s="207"/>
      <c r="O290" s="207"/>
      <c r="P290" s="207"/>
      <c r="Q290" s="173">
        <f t="shared" si="39"/>
        <v>100</v>
      </c>
      <c r="R290" s="173"/>
      <c r="S290" s="222"/>
      <c r="U290" s="222"/>
      <c r="V290" s="222"/>
      <c r="W290" s="222"/>
      <c r="X290" s="222"/>
      <c r="Y290" s="222"/>
      <c r="Z290" s="222"/>
      <c r="AA290" s="222"/>
      <c r="AB290" s="222"/>
      <c r="AC290" s="222"/>
      <c r="AD290" s="222"/>
      <c r="AE290" s="222"/>
      <c r="AF290" s="222"/>
      <c r="AG290" s="222"/>
      <c r="AH290" s="222"/>
      <c r="AI290" s="222"/>
      <c r="AJ290" s="222"/>
      <c r="AK290" s="222"/>
      <c r="AL290" s="222"/>
      <c r="AM290" s="222"/>
      <c r="AN290" s="222"/>
      <c r="AO290" s="222"/>
    </row>
    <row r="291" spans="1:41" ht="15.75" customHeight="1">
      <c r="B291" s="168"/>
      <c r="C291" s="168"/>
      <c r="D291" s="169"/>
      <c r="E291" s="168"/>
      <c r="F291" s="168"/>
      <c r="G291" s="176"/>
      <c r="H291" s="168"/>
      <c r="I291" s="139"/>
      <c r="J291" s="207"/>
      <c r="K291" s="207"/>
      <c r="L291" s="207"/>
      <c r="M291" s="207"/>
      <c r="N291" s="207"/>
      <c r="O291" s="207"/>
      <c r="P291" s="207"/>
      <c r="Q291" s="173">
        <f t="shared" si="39"/>
        <v>0</v>
      </c>
      <c r="R291" s="173"/>
      <c r="S291" s="222"/>
      <c r="U291" s="222"/>
      <c r="V291" s="222"/>
      <c r="W291" s="222"/>
      <c r="X291" s="222"/>
      <c r="Y291" s="222"/>
      <c r="Z291" s="222"/>
      <c r="AA291" s="222"/>
      <c r="AB291" s="222"/>
      <c r="AC291" s="222"/>
      <c r="AD291" s="222"/>
      <c r="AE291" s="222"/>
      <c r="AF291" s="222"/>
      <c r="AG291" s="222"/>
      <c r="AH291" s="222"/>
      <c r="AI291" s="222"/>
      <c r="AJ291" s="222"/>
      <c r="AK291" s="222"/>
      <c r="AL291" s="222"/>
      <c r="AM291" s="222"/>
      <c r="AN291" s="222"/>
      <c r="AO291" s="222"/>
    </row>
    <row r="292" spans="1:41" ht="15.75" customHeight="1">
      <c r="A292" s="139" t="s">
        <v>622</v>
      </c>
      <c r="B292" s="168">
        <f>('Pivot Table for Data Exchange'!$L$151)*100</f>
        <v>0</v>
      </c>
      <c r="C292" s="168">
        <f>('Pivot Table for Data Exchange'!$L$154)*100</f>
        <v>0</v>
      </c>
      <c r="D292" s="169">
        <f t="shared" ref="D292:D293" si="41">SUM(E292:G292)</f>
        <v>0</v>
      </c>
      <c r="E292" s="168">
        <f>('Pivot Table for Data Exchange'!$L$157)*100</f>
        <v>0</v>
      </c>
      <c r="F292" s="168">
        <f>('Pivot Table for Data Exchange'!$L$160)*100</f>
        <v>0</v>
      </c>
      <c r="G292" s="176">
        <f>('Pivot Table for Data Exchange'!$L$163)*100</f>
        <v>0</v>
      </c>
      <c r="H292" s="168">
        <f>('Pivot Table for Data Exchange'!$L$166)*100</f>
        <v>0</v>
      </c>
      <c r="I292" s="139"/>
      <c r="J292" s="207"/>
      <c r="K292" s="207"/>
      <c r="L292" s="207"/>
      <c r="M292" s="207"/>
      <c r="N292" s="207"/>
      <c r="O292" s="207"/>
      <c r="P292" s="207"/>
      <c r="Q292" s="173">
        <f t="shared" si="39"/>
        <v>0</v>
      </c>
      <c r="R292" s="173"/>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row>
    <row r="293" spans="1:41" ht="15.75" customHeight="1">
      <c r="A293" s="139" t="s">
        <v>623</v>
      </c>
      <c r="B293" s="168">
        <f>('Pivot Table for Data Exchange'!$L$187)*100</f>
        <v>46.604006305273501</v>
      </c>
      <c r="C293" s="168">
        <f>('Pivot Table for Data Exchange'!$L$190)*100</f>
        <v>6.7259662626924346</v>
      </c>
      <c r="D293" s="169">
        <f t="shared" si="41"/>
        <v>46.670027432034068</v>
      </c>
      <c r="E293" s="168">
        <f>('Pivot Table for Data Exchange'!$L$193)*100</f>
        <v>46.670027432034068</v>
      </c>
      <c r="F293" s="180">
        <f>('Pivot Table for Data Exchange'!$L$196)*100</f>
        <v>0</v>
      </c>
      <c r="G293" s="175">
        <f>('Pivot Table for Data Exchange'!$L$199)*100</f>
        <v>0</v>
      </c>
      <c r="H293" s="168">
        <f>('Pivot Table for Data Exchange'!$L$202)*100</f>
        <v>0</v>
      </c>
      <c r="I293" s="139"/>
      <c r="J293" s="207"/>
      <c r="K293" s="207"/>
      <c r="L293" s="207"/>
      <c r="M293" s="207"/>
      <c r="N293" s="207"/>
      <c r="O293" s="207"/>
      <c r="P293" s="207"/>
      <c r="Q293" s="173">
        <f t="shared" si="39"/>
        <v>100</v>
      </c>
      <c r="R293" s="173"/>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row>
    <row r="294" spans="1:41" ht="15.75" customHeight="1">
      <c r="A294" s="139" t="s">
        <v>624</v>
      </c>
      <c r="B294" s="168">
        <f>('Pivot Table for Data Exchange'!$L$223)*100</f>
        <v>44.143373388796768</v>
      </c>
      <c r="C294" s="168">
        <f>('Pivot Table for Data Exchange'!$L$226)*100</f>
        <v>0</v>
      </c>
      <c r="D294" s="169">
        <f>SUM(E294:G294)</f>
        <v>55.856626611203232</v>
      </c>
      <c r="E294" s="168">
        <f>('Pivot Table for Data Exchange'!$L$229)*100</f>
        <v>55.856626611203232</v>
      </c>
      <c r="F294" s="168">
        <f>('Pivot Table for Data Exchange'!$L$232)*100</f>
        <v>0</v>
      </c>
      <c r="G294" s="176">
        <f>('Pivot Table for Data Exchange'!$L$235)*100</f>
        <v>0</v>
      </c>
      <c r="H294" s="168">
        <f>('Pivot Table for Data Exchange'!$L$238)*100</f>
        <v>0</v>
      </c>
      <c r="I294" s="139"/>
      <c r="J294" s="207"/>
      <c r="K294" s="207"/>
      <c r="L294" s="207"/>
      <c r="M294" s="207"/>
      <c r="N294" s="207"/>
      <c r="O294" s="207"/>
      <c r="P294" s="207"/>
      <c r="Q294" s="173">
        <f t="shared" si="39"/>
        <v>100</v>
      </c>
      <c r="R294" s="173"/>
      <c r="S294" s="222"/>
      <c r="T294" s="226"/>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row>
    <row r="295" spans="1:41" ht="15.75" customHeight="1">
      <c r="A295" s="139" t="s">
        <v>625</v>
      </c>
      <c r="B295" s="168">
        <f>('Pivot Table for Data Exchange'!$L$259)*100</f>
        <v>26.209077259220965</v>
      </c>
      <c r="C295" s="168">
        <f>('Pivot Table for Data Exchange'!$L$262)*100</f>
        <v>9.285025916775524</v>
      </c>
      <c r="D295" s="169">
        <f>SUM(E295:G295)</f>
        <v>64.505896824003514</v>
      </c>
      <c r="E295" s="168">
        <f>('Pivot Table for Data Exchange'!$L$265)*100</f>
        <v>63.553390947665953</v>
      </c>
      <c r="F295" s="180">
        <f>('Pivot Table for Data Exchange'!$L$268)*100</f>
        <v>0.95250587633755857</v>
      </c>
      <c r="G295" s="175">
        <f>('Pivot Table for Data Exchange'!$L$271)*100</f>
        <v>0</v>
      </c>
      <c r="H295" s="168">
        <f>('Pivot Table for Data Exchange'!$L$274)*100</f>
        <v>0</v>
      </c>
      <c r="I295" s="139"/>
      <c r="J295" s="207"/>
      <c r="K295" s="207"/>
      <c r="L295" s="207"/>
      <c r="M295" s="207"/>
      <c r="N295" s="207"/>
      <c r="O295" s="207"/>
      <c r="P295" s="207"/>
      <c r="Q295" s="173">
        <f t="shared" si="39"/>
        <v>100</v>
      </c>
      <c r="R295" s="173"/>
      <c r="S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row>
    <row r="296" spans="1:41" ht="9.75" customHeight="1">
      <c r="B296" s="168"/>
      <c r="C296" s="168"/>
      <c r="D296" s="169"/>
      <c r="E296" s="168"/>
      <c r="F296" s="168"/>
      <c r="G296" s="176"/>
      <c r="H296" s="168"/>
      <c r="I296" s="139"/>
      <c r="J296" s="207"/>
      <c r="K296" s="207"/>
      <c r="L296" s="207"/>
      <c r="M296" s="207"/>
      <c r="N296" s="207"/>
      <c r="O296" s="207"/>
      <c r="P296" s="207"/>
      <c r="Q296" s="173">
        <f t="shared" si="39"/>
        <v>0</v>
      </c>
      <c r="R296" s="173"/>
      <c r="S296" s="222"/>
      <c r="U296" s="222"/>
      <c r="V296" s="222"/>
      <c r="W296" s="222"/>
      <c r="X296" s="222"/>
      <c r="Y296" s="222"/>
      <c r="Z296" s="222"/>
      <c r="AA296" s="222"/>
      <c r="AB296" s="222"/>
      <c r="AC296" s="222"/>
      <c r="AD296" s="222"/>
      <c r="AE296" s="222"/>
      <c r="AF296" s="222"/>
      <c r="AG296" s="222"/>
      <c r="AH296" s="222"/>
      <c r="AI296" s="222"/>
      <c r="AJ296" s="222"/>
      <c r="AK296" s="222"/>
      <c r="AL296" s="222"/>
      <c r="AM296" s="222"/>
      <c r="AN296" s="222"/>
      <c r="AO296" s="222"/>
    </row>
    <row r="297" spans="1:41" ht="15.75" customHeight="1">
      <c r="A297" s="139" t="s">
        <v>672</v>
      </c>
      <c r="B297" s="168">
        <f>('Pivot Table for Data Exchange'!$L$295)*100</f>
        <v>0</v>
      </c>
      <c r="C297" s="168">
        <f>('Pivot Table for Data Exchange'!$L$298)*100</f>
        <v>0</v>
      </c>
      <c r="D297" s="169">
        <f>SUM(E297:G297)</f>
        <v>0</v>
      </c>
      <c r="E297" s="168">
        <f>('Pivot Table for Data Exchange'!$L$301)*100</f>
        <v>0</v>
      </c>
      <c r="F297" s="168">
        <f>('Pivot Table for Data Exchange'!$L$304)*100</f>
        <v>0</v>
      </c>
      <c r="G297" s="176">
        <f>('Pivot Table for Data Exchange'!$L$307)*100</f>
        <v>0</v>
      </c>
      <c r="H297" s="168">
        <f>('Pivot Table for Data Exchange'!$L$310)*100</f>
        <v>0</v>
      </c>
      <c r="I297" s="214"/>
      <c r="J297" s="207"/>
      <c r="K297" s="207"/>
      <c r="L297" s="207"/>
      <c r="M297" s="207"/>
      <c r="N297" s="207"/>
      <c r="O297" s="207"/>
      <c r="P297" s="207"/>
      <c r="Q297" s="173">
        <f t="shared" si="39"/>
        <v>0</v>
      </c>
      <c r="R297" s="173"/>
      <c r="S297" s="222"/>
      <c r="T297" s="222"/>
      <c r="U297" s="222"/>
      <c r="V297" s="222"/>
      <c r="W297" s="222"/>
      <c r="X297" s="222"/>
      <c r="Y297" s="222"/>
      <c r="Z297" s="222"/>
      <c r="AA297" s="222"/>
      <c r="AB297" s="222"/>
      <c r="AC297" s="222"/>
      <c r="AD297" s="222"/>
      <c r="AE297" s="222"/>
      <c r="AF297" s="222"/>
      <c r="AG297" s="222"/>
      <c r="AH297" s="222"/>
      <c r="AI297" s="222"/>
      <c r="AJ297" s="222"/>
      <c r="AK297" s="222"/>
      <c r="AL297" s="222"/>
      <c r="AM297" s="222"/>
      <c r="AN297" s="222"/>
      <c r="AO297" s="222"/>
    </row>
    <row r="298" spans="1:41" ht="15.75" customHeight="1">
      <c r="A298" s="139" t="s">
        <v>627</v>
      </c>
      <c r="B298" s="168">
        <f>('Pivot Table for Data Exchange'!$L$331)*100</f>
        <v>33.276157353208127</v>
      </c>
      <c r="C298" s="168">
        <f>('Pivot Table for Data Exchange'!$L$334)*100</f>
        <v>2.0492949106282512</v>
      </c>
      <c r="D298" s="169">
        <f>SUM(E298:G298)</f>
        <v>64.674547736163618</v>
      </c>
      <c r="E298" s="168">
        <f>('Pivot Table for Data Exchange'!$L$337)*100</f>
        <v>64.674547736163618</v>
      </c>
      <c r="F298" s="180">
        <f>('Pivot Table for Data Exchange'!$L$340)*100</f>
        <v>0</v>
      </c>
      <c r="G298" s="176">
        <f>('Pivot Table for Data Exchange'!$L$343)*100</f>
        <v>0</v>
      </c>
      <c r="H298" s="168">
        <f>('Pivot Table for Data Exchange'!$L$346)*100</f>
        <v>0</v>
      </c>
      <c r="I298" s="139"/>
      <c r="J298" s="207"/>
      <c r="K298" s="207"/>
      <c r="L298" s="207"/>
      <c r="M298" s="207"/>
      <c r="N298" s="207"/>
      <c r="O298" s="207"/>
      <c r="P298" s="207"/>
      <c r="Q298" s="173">
        <f t="shared" si="39"/>
        <v>100</v>
      </c>
      <c r="R298" s="173"/>
      <c r="S298" s="222"/>
      <c r="T298" s="222"/>
      <c r="U298" s="222"/>
      <c r="V298" s="222"/>
      <c r="W298" s="222"/>
      <c r="X298" s="222"/>
      <c r="Y298" s="222"/>
      <c r="Z298" s="222"/>
      <c r="AA298" s="222"/>
      <c r="AB298" s="222"/>
      <c r="AC298" s="222"/>
      <c r="AD298" s="222"/>
      <c r="AE298" s="222"/>
      <c r="AF298" s="222"/>
      <c r="AG298" s="222"/>
      <c r="AH298" s="222"/>
      <c r="AI298" s="222"/>
      <c r="AJ298" s="222"/>
      <c r="AK298" s="222"/>
      <c r="AL298" s="222"/>
      <c r="AM298" s="222"/>
      <c r="AN298" s="222"/>
      <c r="AO298" s="222"/>
    </row>
    <row r="299" spans="1:41" ht="15.75" customHeight="1">
      <c r="A299" s="139" t="s">
        <v>628</v>
      </c>
      <c r="B299" s="168">
        <f>('Pivot Table for Data Exchange'!$L$367)*100</f>
        <v>0</v>
      </c>
      <c r="C299" s="168">
        <f>('Pivot Table for Data Exchange'!$L$370)*100</f>
        <v>0</v>
      </c>
      <c r="D299" s="169">
        <f>SUM(E299:G299)</f>
        <v>0</v>
      </c>
      <c r="E299" s="168">
        <f>('Pivot Table for Data Exchange'!$L$373)*100</f>
        <v>0</v>
      </c>
      <c r="F299" s="168">
        <f>('Pivot Table for Data Exchange'!$L$376)*100</f>
        <v>0</v>
      </c>
      <c r="G299" s="176">
        <f>('Pivot Table for Data Exchange'!$L$379)*100</f>
        <v>0</v>
      </c>
      <c r="H299" s="180">
        <f>('Pivot Table for Data Exchange'!$L$382)*100</f>
        <v>0</v>
      </c>
      <c r="I299" s="139"/>
      <c r="J299" s="207"/>
      <c r="K299" s="207"/>
      <c r="L299" s="207"/>
      <c r="M299" s="207"/>
      <c r="N299" s="207"/>
      <c r="O299" s="207"/>
      <c r="P299" s="207"/>
      <c r="Q299" s="173">
        <f t="shared" si="39"/>
        <v>0</v>
      </c>
      <c r="R299" s="173"/>
      <c r="S299" s="222"/>
      <c r="T299" s="226"/>
      <c r="U299" s="222"/>
      <c r="V299" s="222"/>
      <c r="W299" s="222"/>
      <c r="X299" s="222"/>
      <c r="Y299" s="222"/>
      <c r="Z299" s="222"/>
      <c r="AA299" s="222"/>
      <c r="AB299" s="222"/>
      <c r="AC299" s="222"/>
      <c r="AD299" s="222"/>
      <c r="AE299" s="222"/>
      <c r="AF299" s="222"/>
      <c r="AG299" s="222"/>
      <c r="AH299" s="222"/>
      <c r="AI299" s="222"/>
      <c r="AJ299" s="222"/>
      <c r="AK299" s="222"/>
      <c r="AL299" s="222"/>
      <c r="AM299" s="222"/>
      <c r="AN299" s="222"/>
      <c r="AO299" s="222"/>
    </row>
    <row r="300" spans="1:41" ht="15.75" customHeight="1">
      <c r="A300" s="139" t="s">
        <v>629</v>
      </c>
      <c r="B300" s="168">
        <f>('Pivot Table for Data Exchange'!$L$403)*100</f>
        <v>30.917703957692495</v>
      </c>
      <c r="C300" s="168">
        <f>('Pivot Table for Data Exchange'!$L$406)*100</f>
        <v>6.8819527899361628</v>
      </c>
      <c r="D300" s="169">
        <f>SUM(E300:G300)</f>
        <v>62.200343252371347</v>
      </c>
      <c r="E300" s="168">
        <f>('Pivot Table for Data Exchange'!$L$409)*100</f>
        <v>62.200343252371347</v>
      </c>
      <c r="F300" s="168">
        <f>('Pivot Table for Data Exchange'!$L$412)*100</f>
        <v>0</v>
      </c>
      <c r="G300" s="176">
        <f>('Pivot Table for Data Exchange'!$L$415)*100</f>
        <v>0</v>
      </c>
      <c r="H300" s="168">
        <f>('Pivot Table for Data Exchange'!$L$418)*100</f>
        <v>0</v>
      </c>
      <c r="I300" s="139"/>
      <c r="J300" s="207"/>
      <c r="K300" s="207"/>
      <c r="L300" s="207"/>
      <c r="M300" s="207"/>
      <c r="N300" s="207"/>
      <c r="O300" s="207"/>
      <c r="P300" s="207"/>
      <c r="Q300" s="173">
        <f t="shared" si="39"/>
        <v>100</v>
      </c>
      <c r="R300" s="173"/>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row>
    <row r="301" spans="1:41" ht="11.25" customHeight="1">
      <c r="B301" s="168"/>
      <c r="C301" s="168"/>
      <c r="D301" s="169"/>
      <c r="E301" s="168"/>
      <c r="F301" s="168"/>
      <c r="G301" s="176"/>
      <c r="H301" s="168"/>
      <c r="I301" s="139"/>
      <c r="J301" s="207"/>
      <c r="K301" s="207"/>
      <c r="L301" s="207"/>
      <c r="M301" s="207"/>
      <c r="N301" s="207"/>
      <c r="O301" s="207"/>
      <c r="P301" s="207"/>
      <c r="Q301" s="173">
        <f t="shared" si="39"/>
        <v>0</v>
      </c>
      <c r="R301" s="173"/>
      <c r="S301" s="222"/>
      <c r="T301" s="222"/>
      <c r="U301" s="222"/>
      <c r="V301" s="222"/>
      <c r="W301" s="222"/>
      <c r="X301" s="222"/>
      <c r="Y301" s="222"/>
      <c r="Z301" s="222"/>
      <c r="AA301" s="222"/>
      <c r="AB301" s="222"/>
      <c r="AC301" s="222"/>
      <c r="AD301" s="222"/>
      <c r="AE301" s="222"/>
      <c r="AF301" s="222"/>
      <c r="AG301" s="222"/>
      <c r="AH301" s="222"/>
      <c r="AI301" s="222"/>
      <c r="AJ301" s="222"/>
      <c r="AK301" s="222"/>
      <c r="AL301" s="222"/>
      <c r="AM301" s="222"/>
      <c r="AN301" s="222"/>
      <c r="AO301" s="222"/>
    </row>
    <row r="302" spans="1:41" ht="15.75" customHeight="1">
      <c r="A302" s="139" t="s">
        <v>630</v>
      </c>
      <c r="B302" s="168">
        <f>('Pivot Table for Data Exchange'!$L$439)*100</f>
        <v>19.391538620493364</v>
      </c>
      <c r="C302" s="168">
        <f>('Pivot Table for Data Exchange'!$L$442)*100</f>
        <v>15.418305826636983</v>
      </c>
      <c r="D302" s="169">
        <f>SUM(E302:G302)</f>
        <v>65.054733971972155</v>
      </c>
      <c r="E302" s="168">
        <f>('Pivot Table for Data Exchange'!$L$445)*100</f>
        <v>51.413673940703021</v>
      </c>
      <c r="F302" s="168">
        <f>('Pivot Table for Data Exchange'!$L$448)*100</f>
        <v>0.18779672206994874</v>
      </c>
      <c r="G302" s="176">
        <f>('Pivot Table for Data Exchange'!$L$451)*100</f>
        <v>13.453263309199182</v>
      </c>
      <c r="H302" s="168">
        <f>('Pivot Table for Data Exchange'!$L$454)*100</f>
        <v>0.13542158089749937</v>
      </c>
      <c r="I302" s="139"/>
      <c r="J302" s="207"/>
      <c r="K302" s="207"/>
      <c r="L302" s="207"/>
      <c r="M302" s="207"/>
      <c r="N302" s="207"/>
      <c r="O302" s="207"/>
      <c r="P302" s="207"/>
      <c r="Q302" s="173">
        <f t="shared" si="39"/>
        <v>100</v>
      </c>
      <c r="R302" s="173"/>
      <c r="S302" s="222"/>
      <c r="T302" s="222"/>
      <c r="U302" s="222"/>
      <c r="V302" s="222"/>
      <c r="W302" s="222"/>
      <c r="X302" s="222"/>
      <c r="Y302" s="222"/>
      <c r="Z302" s="222"/>
      <c r="AA302" s="222"/>
      <c r="AB302" s="222"/>
      <c r="AC302" s="222"/>
      <c r="AD302" s="222"/>
      <c r="AE302" s="222"/>
      <c r="AF302" s="222"/>
      <c r="AG302" s="222"/>
      <c r="AH302" s="222"/>
      <c r="AI302" s="222"/>
      <c r="AJ302" s="222"/>
      <c r="AK302" s="222"/>
      <c r="AL302" s="222"/>
      <c r="AM302" s="222"/>
      <c r="AN302" s="222"/>
      <c r="AO302" s="222"/>
    </row>
    <row r="303" spans="1:41" ht="15.75" customHeight="1">
      <c r="A303" s="139" t="s">
        <v>631</v>
      </c>
      <c r="B303" s="168">
        <f>('Pivot Table for Data Exchange'!$L$475)*100</f>
        <v>34.907853706584689</v>
      </c>
      <c r="C303" s="168">
        <f>('Pivot Table for Data Exchange'!$L$478)*100</f>
        <v>8.237263632483165</v>
      </c>
      <c r="D303" s="169">
        <f>SUM(E303:G303)</f>
        <v>56.854882660932141</v>
      </c>
      <c r="E303" s="168">
        <f>('Pivot Table for Data Exchange'!$L$481)*100</f>
        <v>56.425844498734946</v>
      </c>
      <c r="F303" s="168">
        <f>('Pivot Table for Data Exchange'!$L$484)*100</f>
        <v>0.42466558452376585</v>
      </c>
      <c r="G303" s="176">
        <f>('Pivot Table for Data Exchange'!$L$487)*100</f>
        <v>4.372577673429202E-3</v>
      </c>
      <c r="H303" s="168">
        <f>('Pivot Table for Data Exchange'!$L$490)*100</f>
        <v>0</v>
      </c>
      <c r="I303" s="139"/>
      <c r="J303" s="207"/>
      <c r="K303" s="207"/>
      <c r="L303" s="207"/>
      <c r="M303" s="207"/>
      <c r="N303" s="207"/>
      <c r="O303" s="207"/>
      <c r="P303" s="207"/>
      <c r="Q303" s="173">
        <f t="shared" si="39"/>
        <v>100</v>
      </c>
      <c r="R303" s="173"/>
      <c r="S303" s="222"/>
      <c r="T303" s="222"/>
      <c r="U303" s="222"/>
      <c r="V303" s="222"/>
      <c r="W303" s="222"/>
      <c r="X303" s="222"/>
      <c r="Y303" s="222"/>
      <c r="Z303" s="222"/>
      <c r="AA303" s="222"/>
      <c r="AB303" s="222"/>
      <c r="AC303" s="222"/>
      <c r="AD303" s="222"/>
      <c r="AE303" s="222"/>
      <c r="AF303" s="222"/>
      <c r="AG303" s="222"/>
      <c r="AH303" s="222"/>
      <c r="AI303" s="222"/>
      <c r="AJ303" s="222"/>
      <c r="AK303" s="222"/>
      <c r="AL303" s="222"/>
      <c r="AM303" s="222"/>
      <c r="AN303" s="222"/>
      <c r="AO303" s="222"/>
    </row>
    <row r="304" spans="1:41" ht="15.75" customHeight="1">
      <c r="A304" s="139" t="s">
        <v>632</v>
      </c>
      <c r="B304" s="168">
        <f>('Pivot Table for Data Exchange'!$L$511)*100</f>
        <v>34.492539381900492</v>
      </c>
      <c r="C304" s="168">
        <f>('Pivot Table for Data Exchange'!$L$514)*100</f>
        <v>10.201991038019125</v>
      </c>
      <c r="D304" s="169">
        <f>SUM(E304:G304)</f>
        <v>55.305469580080384</v>
      </c>
      <c r="E304" s="168">
        <f>('Pivot Table for Data Exchange'!$L$517)*100</f>
        <v>51.405737515591078</v>
      </c>
      <c r="F304" s="168">
        <f>('Pivot Table for Data Exchange'!$L$520)*100</f>
        <v>3.1810412528294911</v>
      </c>
      <c r="G304" s="176">
        <f>('Pivot Table for Data Exchange'!$L$523)*100</f>
        <v>0.7186908116598143</v>
      </c>
      <c r="H304" s="168">
        <f>('Pivot Table for Data Exchange'!$L$526)*100</f>
        <v>0</v>
      </c>
      <c r="I304" s="139"/>
      <c r="J304" s="207"/>
      <c r="K304" s="207"/>
      <c r="L304" s="207"/>
      <c r="M304" s="207"/>
      <c r="N304" s="207"/>
      <c r="O304" s="207"/>
      <c r="P304" s="207"/>
      <c r="Q304" s="173">
        <f t="shared" si="39"/>
        <v>100</v>
      </c>
      <c r="R304" s="173"/>
      <c r="S304" s="222"/>
      <c r="T304" s="222"/>
      <c r="U304" s="222"/>
      <c r="V304" s="222"/>
      <c r="W304" s="222"/>
      <c r="X304" s="222"/>
      <c r="Y304" s="222"/>
      <c r="Z304" s="222"/>
      <c r="AA304" s="222"/>
      <c r="AB304" s="222"/>
      <c r="AC304" s="222"/>
      <c r="AD304" s="222"/>
      <c r="AE304" s="222"/>
      <c r="AF304" s="222"/>
      <c r="AG304" s="222"/>
      <c r="AH304" s="222"/>
      <c r="AI304" s="222"/>
      <c r="AJ304" s="222"/>
      <c r="AK304" s="222"/>
      <c r="AL304" s="222"/>
      <c r="AM304" s="222"/>
      <c r="AN304" s="222"/>
      <c r="AO304" s="222"/>
    </row>
    <row r="305" spans="1:41" ht="15.75" customHeight="1">
      <c r="A305" s="145" t="s">
        <v>633</v>
      </c>
      <c r="B305" s="181">
        <f>('Pivot Table for Data Exchange'!$L$547)*100</f>
        <v>0</v>
      </c>
      <c r="C305" s="181">
        <f>('Pivot Table for Data Exchange'!$L$550)*100</f>
        <v>0</v>
      </c>
      <c r="D305" s="182">
        <f>SUM(E305:G305)</f>
        <v>0</v>
      </c>
      <c r="E305" s="181">
        <f>('Pivot Table for Data Exchange'!$L$553)*100</f>
        <v>0</v>
      </c>
      <c r="F305" s="181">
        <f>('Pivot Table for Data Exchange'!$L$556)*100</f>
        <v>0</v>
      </c>
      <c r="G305" s="183">
        <f>('Pivot Table for Data Exchange'!$L$559)*100</f>
        <v>0</v>
      </c>
      <c r="H305" s="181">
        <f>('Pivot Table for Data Exchange'!$L$562)*100</f>
        <v>0</v>
      </c>
      <c r="I305" s="139"/>
      <c r="J305" s="207"/>
      <c r="K305" s="207"/>
      <c r="L305" s="207"/>
      <c r="M305" s="207"/>
      <c r="N305" s="207"/>
      <c r="O305" s="207"/>
      <c r="P305" s="207"/>
      <c r="Q305" s="173">
        <f t="shared" si="39"/>
        <v>0</v>
      </c>
      <c r="R305" s="173"/>
      <c r="S305" s="222"/>
      <c r="T305" s="222"/>
      <c r="U305" s="222"/>
      <c r="V305" s="222"/>
      <c r="W305" s="222"/>
      <c r="X305" s="222"/>
      <c r="Y305" s="222"/>
      <c r="Z305" s="222"/>
      <c r="AA305" s="222"/>
      <c r="AB305" s="222"/>
      <c r="AC305" s="222"/>
      <c r="AD305" s="222"/>
      <c r="AE305" s="222"/>
      <c r="AF305" s="222"/>
      <c r="AG305" s="222"/>
      <c r="AH305" s="222"/>
      <c r="AI305" s="222"/>
      <c r="AJ305" s="222"/>
      <c r="AK305" s="222"/>
      <c r="AL305" s="222"/>
      <c r="AM305" s="222"/>
      <c r="AN305" s="222"/>
      <c r="AO305" s="222"/>
    </row>
    <row r="306" spans="1:41" s="212" customFormat="1" ht="13.5" customHeight="1">
      <c r="A306" s="187" t="s">
        <v>658</v>
      </c>
      <c r="B306" s="188"/>
      <c r="C306" s="188"/>
      <c r="D306" s="189"/>
      <c r="E306" s="188"/>
      <c r="F306" s="189"/>
      <c r="G306" s="189"/>
      <c r="H306" s="188"/>
      <c r="I306" s="197"/>
      <c r="J306" s="188"/>
      <c r="K306" s="188"/>
      <c r="L306" s="189"/>
      <c r="M306" s="188"/>
      <c r="N306" s="189"/>
      <c r="O306" s="189"/>
      <c r="P306" s="188"/>
      <c r="Q306" s="173">
        <f t="shared" si="39"/>
        <v>0</v>
      </c>
      <c r="R306" s="208"/>
      <c r="S306" s="225"/>
      <c r="T306" s="225"/>
      <c r="U306" s="225"/>
      <c r="V306" s="225"/>
      <c r="W306" s="225"/>
      <c r="X306" s="225"/>
      <c r="Y306" s="225"/>
      <c r="Z306" s="225"/>
      <c r="AA306" s="225"/>
      <c r="AB306" s="225"/>
      <c r="AC306" s="225"/>
      <c r="AD306" s="225"/>
      <c r="AE306" s="225"/>
      <c r="AF306" s="225"/>
      <c r="AG306" s="225"/>
      <c r="AH306" s="225"/>
      <c r="AI306" s="225"/>
      <c r="AJ306" s="225"/>
      <c r="AK306" s="225"/>
      <c r="AL306" s="225"/>
      <c r="AM306" s="225"/>
      <c r="AN306" s="225"/>
      <c r="AO306" s="225"/>
    </row>
    <row r="307" spans="1:41" s="212" customFormat="1" ht="24" customHeight="1">
      <c r="A307" s="492" t="s">
        <v>673</v>
      </c>
      <c r="B307" s="493"/>
      <c r="C307" s="493"/>
      <c r="D307" s="493"/>
      <c r="E307" s="493"/>
      <c r="F307" s="493"/>
      <c r="G307" s="493"/>
      <c r="H307" s="493"/>
      <c r="I307" s="197"/>
      <c r="J307" s="186"/>
      <c r="K307" s="186"/>
      <c r="L307" s="186"/>
      <c r="M307" s="186"/>
      <c r="N307" s="186"/>
      <c r="O307" s="186"/>
      <c r="P307" s="199"/>
      <c r="Q307" s="173">
        <f t="shared" si="39"/>
        <v>0</v>
      </c>
      <c r="R307" s="209"/>
    </row>
    <row r="308" spans="1:41" s="212" customFormat="1" ht="13.5" customHeight="1">
      <c r="A308" s="197"/>
      <c r="B308" s="186"/>
      <c r="C308" s="186"/>
      <c r="D308" s="186"/>
      <c r="E308" s="186"/>
      <c r="F308" s="186"/>
      <c r="G308" s="186"/>
      <c r="H308" s="186"/>
      <c r="I308" s="197"/>
      <c r="J308" s="186"/>
      <c r="K308" s="186"/>
      <c r="L308" s="186"/>
      <c r="M308" s="186"/>
      <c r="N308" s="186"/>
      <c r="O308" s="186"/>
      <c r="P308" s="186"/>
      <c r="Q308" s="173">
        <f t="shared" si="39"/>
        <v>0</v>
      </c>
      <c r="R308" s="209"/>
    </row>
    <row r="309" spans="1:41" s="212" customFormat="1">
      <c r="A309" s="186"/>
      <c r="B309" s="186"/>
      <c r="C309" s="186"/>
      <c r="D309" s="186"/>
      <c r="E309" s="186"/>
      <c r="F309" s="186"/>
      <c r="G309" s="186"/>
      <c r="H309" s="192" t="s">
        <v>923</v>
      </c>
      <c r="I309" s="213"/>
      <c r="J309" s="186"/>
      <c r="K309" s="186"/>
      <c r="L309" s="186"/>
      <c r="M309" s="186"/>
      <c r="N309" s="186"/>
      <c r="O309" s="186"/>
      <c r="P309" s="186"/>
      <c r="Q309" s="173">
        <f t="shared" si="39"/>
        <v>0</v>
      </c>
      <c r="R309" s="209"/>
    </row>
    <row r="310" spans="1:41" ht="18">
      <c r="A310" s="134" t="s">
        <v>677</v>
      </c>
      <c r="B310" s="135"/>
      <c r="C310" s="135"/>
      <c r="D310" s="135"/>
      <c r="E310" s="135"/>
      <c r="F310" s="135"/>
      <c r="G310" s="135"/>
      <c r="H310" s="135"/>
      <c r="Q310" s="173">
        <f t="shared" si="39"/>
        <v>0</v>
      </c>
    </row>
    <row r="311" spans="1:41" ht="13">
      <c r="A311" s="140"/>
      <c r="B311" s="136"/>
      <c r="C311" s="136"/>
      <c r="D311" s="136"/>
      <c r="E311" s="136"/>
      <c r="F311" s="136"/>
      <c r="G311" s="136"/>
      <c r="H311" s="136"/>
      <c r="Q311" s="173">
        <f t="shared" si="39"/>
        <v>0</v>
      </c>
    </row>
    <row r="312" spans="1:41" ht="15.5">
      <c r="A312" s="142" t="s">
        <v>639</v>
      </c>
      <c r="B312" s="136"/>
      <c r="C312" s="136"/>
      <c r="D312" s="136"/>
      <c r="E312" s="136"/>
      <c r="F312" s="136"/>
      <c r="G312" s="136"/>
      <c r="H312" s="136"/>
      <c r="Q312" s="173">
        <f t="shared" si="39"/>
        <v>0</v>
      </c>
    </row>
    <row r="313" spans="1:41" ht="15.5">
      <c r="A313" s="142" t="s">
        <v>891</v>
      </c>
      <c r="B313" s="136"/>
      <c r="C313" s="136"/>
      <c r="D313" s="136"/>
      <c r="E313" s="136"/>
      <c r="F313" s="136"/>
      <c r="G313" s="136"/>
      <c r="H313" s="136"/>
      <c r="Q313" s="173">
        <f t="shared" si="39"/>
        <v>0</v>
      </c>
    </row>
    <row r="314" spans="1:41">
      <c r="A314" s="145"/>
      <c r="B314" s="146"/>
      <c r="C314" s="146"/>
      <c r="D314" s="146"/>
      <c r="E314" s="146"/>
      <c r="F314" s="146"/>
      <c r="G314" s="146"/>
      <c r="H314" s="146"/>
      <c r="Q314" s="173">
        <f t="shared" si="39"/>
        <v>0</v>
      </c>
    </row>
    <row r="315" spans="1:41">
      <c r="A315" s="150"/>
      <c r="B315" s="151" t="s">
        <v>641</v>
      </c>
      <c r="C315" s="151"/>
      <c r="D315" s="151"/>
      <c r="E315" s="151"/>
      <c r="F315" s="151"/>
      <c r="G315" s="151"/>
      <c r="H315" s="152"/>
      <c r="Q315" s="173">
        <f t="shared" si="39"/>
        <v>0</v>
      </c>
    </row>
    <row r="316" spans="1:41">
      <c r="A316" s="150"/>
      <c r="B316" s="151" t="s">
        <v>642</v>
      </c>
      <c r="C316" s="151"/>
      <c r="D316" s="487" t="s">
        <v>643</v>
      </c>
      <c r="E316" s="485"/>
      <c r="F316" s="485"/>
      <c r="G316" s="485"/>
      <c r="H316" s="158" t="s">
        <v>533</v>
      </c>
      <c r="Q316" s="173">
        <f t="shared" si="39"/>
        <v>0</v>
      </c>
    </row>
    <row r="317" spans="1:41" ht="34.5">
      <c r="A317" s="150"/>
      <c r="B317" s="159" t="s">
        <v>644</v>
      </c>
      <c r="C317" s="160" t="s">
        <v>645</v>
      </c>
      <c r="D317" s="161" t="s">
        <v>646</v>
      </c>
      <c r="E317" s="162" t="s">
        <v>8</v>
      </c>
      <c r="F317" s="159" t="s">
        <v>647</v>
      </c>
      <c r="G317" s="163" t="s">
        <v>656</v>
      </c>
      <c r="H317" s="164" t="s">
        <v>649</v>
      </c>
      <c r="Q317" s="173">
        <f t="shared" si="39"/>
        <v>0</v>
      </c>
    </row>
    <row r="318" spans="1:41" ht="15.75" customHeight="1">
      <c r="A318" s="194" t="s">
        <v>618</v>
      </c>
      <c r="B318" s="221">
        <f>('Pivot Table for Data Exchange'!$M$7)*100</f>
        <v>49.782127285345709</v>
      </c>
      <c r="C318" s="168">
        <f>('Pivot Table for Data Exchange'!$M$10)*100</f>
        <v>6.3985706490355332</v>
      </c>
      <c r="D318" s="169">
        <f>SUM(E318:G318)</f>
        <v>43.753211801416633</v>
      </c>
      <c r="E318" s="168">
        <f>('Pivot Table for Data Exchange'!$M$13)*100</f>
        <v>42.88013159776856</v>
      </c>
      <c r="F318" s="168">
        <f>('Pivot Table for Data Exchange'!$M$16)*100</f>
        <v>0.28515498762959784</v>
      </c>
      <c r="G318" s="172">
        <f>('Pivot Table for Data Exchange'!$M$19)*100</f>
        <v>0.5879252160184788</v>
      </c>
      <c r="H318" s="168">
        <f>('Pivot Table for Data Exchange'!$M$22)*100</f>
        <v>6.6090264202122301E-2</v>
      </c>
      <c r="I318" s="139"/>
      <c r="J318" s="207"/>
      <c r="K318" s="207"/>
      <c r="L318" s="207"/>
      <c r="M318" s="207"/>
      <c r="N318" s="207"/>
      <c r="O318" s="207"/>
      <c r="P318" s="207"/>
      <c r="Q318" s="173">
        <f t="shared" si="39"/>
        <v>99.999999999999986</v>
      </c>
      <c r="R318" s="173"/>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row>
    <row r="319" spans="1:41" ht="15.75" customHeight="1">
      <c r="A319" s="139" t="s">
        <v>619</v>
      </c>
      <c r="B319" s="168">
        <f>('Pivot Table for Data Exchange'!$M$43)*100</f>
        <v>57.558548809061016</v>
      </c>
      <c r="C319" s="168">
        <f>('Pivot Table for Data Exchange'!$M$46)*100</f>
        <v>5.221849816657385</v>
      </c>
      <c r="D319" s="169">
        <f t="shared" ref="D319:D321" si="42">SUM(E319:G319)</f>
        <v>37.219601374281602</v>
      </c>
      <c r="E319" s="168">
        <f>('Pivot Table for Data Exchange'!$M$49)*100</f>
        <v>37.16391565189069</v>
      </c>
      <c r="F319" s="168">
        <f>('Pivot Table for Data Exchange'!$M$52)*100</f>
        <v>5.5685722390913767E-2</v>
      </c>
      <c r="G319" s="176">
        <f>('Pivot Table for Data Exchange'!$M$55)*100</f>
        <v>0</v>
      </c>
      <c r="H319" s="168">
        <f>('Pivot Table for Data Exchange'!$M$58)*100</f>
        <v>0</v>
      </c>
      <c r="I319" s="139"/>
      <c r="J319" s="207"/>
      <c r="K319" s="207"/>
      <c r="L319" s="207"/>
      <c r="M319" s="207"/>
      <c r="N319" s="207"/>
      <c r="O319" s="207"/>
      <c r="P319" s="207"/>
      <c r="Q319" s="173">
        <f t="shared" si="39"/>
        <v>100</v>
      </c>
      <c r="R319" s="173"/>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row>
    <row r="320" spans="1:41" ht="15.75" customHeight="1">
      <c r="A320" s="139" t="s">
        <v>620</v>
      </c>
      <c r="B320" s="168">
        <f>('Pivot Table for Data Exchange'!$M$79)*100</f>
        <v>74.155805748893073</v>
      </c>
      <c r="C320" s="168">
        <f>('Pivot Table for Data Exchange'!$M$82)*100</f>
        <v>0</v>
      </c>
      <c r="D320" s="169">
        <f t="shared" si="42"/>
        <v>25.844194251106913</v>
      </c>
      <c r="E320" s="168">
        <f>('Pivot Table for Data Exchange'!$M$85)*100</f>
        <v>24.750396741099877</v>
      </c>
      <c r="F320" s="168">
        <f>('Pivot Table for Data Exchange'!$M$88)*100</f>
        <v>0.40777904124024805</v>
      </c>
      <c r="G320" s="176">
        <f>('Pivot Table for Data Exchange'!$M$91)*100</f>
        <v>0.68601846876679118</v>
      </c>
      <c r="H320" s="168">
        <f>('Pivot Table for Data Exchange'!$M$94)*100</f>
        <v>0</v>
      </c>
      <c r="I320" s="139"/>
      <c r="J320" s="207"/>
      <c r="K320" s="207"/>
      <c r="L320" s="207"/>
      <c r="M320" s="207"/>
      <c r="N320" s="207"/>
      <c r="O320" s="207"/>
      <c r="P320" s="207"/>
      <c r="Q320" s="173">
        <f t="shared" si="39"/>
        <v>99.999999999999986</v>
      </c>
      <c r="R320" s="173"/>
      <c r="S320" s="222"/>
      <c r="T320" s="226"/>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row>
    <row r="321" spans="1:41" ht="15.75" customHeight="1">
      <c r="A321" s="139" t="s">
        <v>657</v>
      </c>
      <c r="B321" s="168">
        <f>('Pivot Table for Data Exchange'!$M$115)*100</f>
        <v>0</v>
      </c>
      <c r="C321" s="168">
        <f>('Pivot Table for Data Exchange'!$M$118)*100</f>
        <v>0</v>
      </c>
      <c r="D321" s="169">
        <f t="shared" si="42"/>
        <v>0</v>
      </c>
      <c r="E321" s="168">
        <f>('Pivot Table for Data Exchange'!$M$121)*100</f>
        <v>0</v>
      </c>
      <c r="F321" s="168">
        <f>('Pivot Table for Data Exchange'!$M$124)*100</f>
        <v>0</v>
      </c>
      <c r="G321" s="175">
        <f>('Pivot Table for Data Exchange'!$M$127)*100</f>
        <v>0</v>
      </c>
      <c r="H321" s="168">
        <f>('Pivot Table for Data Exchange'!$M$130)*100</f>
        <v>0</v>
      </c>
      <c r="I321" s="139"/>
      <c r="J321" s="207"/>
      <c r="K321" s="207"/>
      <c r="L321" s="207"/>
      <c r="M321" s="207"/>
      <c r="N321" s="207"/>
      <c r="O321" s="207"/>
      <c r="P321" s="207"/>
      <c r="Q321" s="173">
        <f t="shared" si="39"/>
        <v>0</v>
      </c>
      <c r="R321" s="173"/>
      <c r="S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row>
    <row r="322" spans="1:41" ht="15.75" customHeight="1">
      <c r="B322" s="168"/>
      <c r="C322" s="168"/>
      <c r="D322" s="169"/>
      <c r="E322" s="168"/>
      <c r="F322" s="168"/>
      <c r="G322" s="176"/>
      <c r="H322" s="168"/>
      <c r="I322" s="139"/>
      <c r="J322" s="207"/>
      <c r="K322" s="207"/>
      <c r="L322" s="207"/>
      <c r="M322" s="207"/>
      <c r="N322" s="207"/>
      <c r="O322" s="207"/>
      <c r="P322" s="207"/>
      <c r="Q322" s="173">
        <f t="shared" si="39"/>
        <v>0</v>
      </c>
      <c r="R322" s="173"/>
      <c r="S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row>
    <row r="323" spans="1:41" ht="15.75" customHeight="1">
      <c r="A323" s="139" t="s">
        <v>622</v>
      </c>
      <c r="B323" s="168">
        <f>('Pivot Table for Data Exchange'!$M$151)*100</f>
        <v>0</v>
      </c>
      <c r="C323" s="168">
        <f>('Pivot Table for Data Exchange'!$M$154)*100</f>
        <v>0</v>
      </c>
      <c r="D323" s="169">
        <f t="shared" ref="D323:D324" si="43">SUM(E323:G323)</f>
        <v>0</v>
      </c>
      <c r="E323" s="168">
        <f>('Pivot Table for Data Exchange'!$M$157)*100</f>
        <v>0</v>
      </c>
      <c r="F323" s="168">
        <f>('Pivot Table for Data Exchange'!$M$160)*100</f>
        <v>0</v>
      </c>
      <c r="G323" s="176">
        <f>('Pivot Table for Data Exchange'!$M$163)*100</f>
        <v>0</v>
      </c>
      <c r="H323" s="168">
        <f>('Pivot Table for Data Exchange'!$M$166)*100</f>
        <v>0</v>
      </c>
      <c r="I323" s="139"/>
      <c r="J323" s="207"/>
      <c r="K323" s="207"/>
      <c r="L323" s="207"/>
      <c r="M323" s="207"/>
      <c r="N323" s="207"/>
      <c r="O323" s="207"/>
      <c r="P323" s="207"/>
      <c r="Q323" s="173">
        <f t="shared" si="39"/>
        <v>0</v>
      </c>
      <c r="R323" s="173"/>
      <c r="S323" s="222"/>
      <c r="T323" s="222"/>
      <c r="U323" s="222"/>
      <c r="V323" s="222"/>
      <c r="W323" s="222"/>
      <c r="X323" s="222"/>
      <c r="Y323" s="222"/>
      <c r="Z323" s="222"/>
      <c r="AA323" s="222"/>
      <c r="AB323" s="222"/>
      <c r="AC323" s="222"/>
      <c r="AD323" s="222"/>
      <c r="AE323" s="222"/>
      <c r="AF323" s="222"/>
      <c r="AG323" s="222"/>
      <c r="AH323" s="222"/>
      <c r="AI323" s="222"/>
      <c r="AJ323" s="222"/>
      <c r="AK323" s="222"/>
      <c r="AL323" s="222"/>
      <c r="AM323" s="222"/>
      <c r="AN323" s="222"/>
      <c r="AO323" s="222"/>
    </row>
    <row r="324" spans="1:41" ht="15.75" customHeight="1">
      <c r="A324" s="139" t="s">
        <v>623</v>
      </c>
      <c r="B324" s="168">
        <f>('Pivot Table for Data Exchange'!$M$187)*100</f>
        <v>39.789636371442064</v>
      </c>
      <c r="C324" s="168">
        <f>('Pivot Table for Data Exchange'!$M$190)*100</f>
        <v>6.2518782466835523</v>
      </c>
      <c r="D324" s="169">
        <f t="shared" si="43"/>
        <v>53.958485381874389</v>
      </c>
      <c r="E324" s="168">
        <f>('Pivot Table for Data Exchange'!$M$193)*100</f>
        <v>53.958485381874389</v>
      </c>
      <c r="F324" s="168">
        <f>('Pivot Table for Data Exchange'!$M$196)*100</f>
        <v>0</v>
      </c>
      <c r="G324" s="176">
        <f>('Pivot Table for Data Exchange'!$M$199)*100</f>
        <v>0</v>
      </c>
      <c r="H324" s="168">
        <f>('Pivot Table for Data Exchange'!$M$202)*100</f>
        <v>0</v>
      </c>
      <c r="I324" s="139"/>
      <c r="J324" s="207"/>
      <c r="K324" s="207"/>
      <c r="L324" s="207"/>
      <c r="M324" s="207"/>
      <c r="N324" s="207"/>
      <c r="O324" s="207"/>
      <c r="P324" s="207"/>
      <c r="Q324" s="173">
        <f t="shared" si="39"/>
        <v>100</v>
      </c>
      <c r="R324" s="173"/>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c r="AN324" s="222"/>
      <c r="AO324" s="222"/>
    </row>
    <row r="325" spans="1:41" ht="15.75" customHeight="1">
      <c r="A325" s="139" t="s">
        <v>624</v>
      </c>
      <c r="B325" s="168">
        <f>('Pivot Table for Data Exchange'!$M$223)*100</f>
        <v>51.917058056546786</v>
      </c>
      <c r="C325" s="168">
        <f>('Pivot Table for Data Exchange'!$M$226)*100</f>
        <v>0</v>
      </c>
      <c r="D325" s="169">
        <f>SUM(E325:G325)</f>
        <v>48.082941943453214</v>
      </c>
      <c r="E325" s="168">
        <f>('Pivot Table for Data Exchange'!$M$229)*100</f>
        <v>48.082941943453214</v>
      </c>
      <c r="F325" s="168">
        <f>('Pivot Table for Data Exchange'!$M$232)*100</f>
        <v>0</v>
      </c>
      <c r="G325" s="176">
        <f>('Pivot Table for Data Exchange'!$M$235)*100</f>
        <v>0</v>
      </c>
      <c r="H325" s="168">
        <f>('Pivot Table for Data Exchange'!$M$238)*100</f>
        <v>0</v>
      </c>
      <c r="I325" s="139"/>
      <c r="J325" s="207"/>
      <c r="K325" s="207"/>
      <c r="L325" s="207"/>
      <c r="M325" s="207"/>
      <c r="N325" s="207"/>
      <c r="O325" s="207"/>
      <c r="P325" s="207"/>
      <c r="Q325" s="173">
        <f t="shared" si="39"/>
        <v>100</v>
      </c>
      <c r="R325" s="173"/>
      <c r="S325" s="222"/>
      <c r="T325" s="226"/>
      <c r="U325" s="222"/>
      <c r="V325" s="222"/>
      <c r="W325" s="222"/>
      <c r="X325" s="222"/>
      <c r="Y325" s="222"/>
      <c r="Z325" s="222"/>
      <c r="AA325" s="222"/>
      <c r="AB325" s="222"/>
      <c r="AC325" s="222"/>
      <c r="AD325" s="222"/>
      <c r="AE325" s="222"/>
      <c r="AF325" s="222"/>
      <c r="AG325" s="222"/>
      <c r="AH325" s="222"/>
      <c r="AI325" s="222"/>
      <c r="AJ325" s="222"/>
      <c r="AK325" s="222"/>
      <c r="AL325" s="222"/>
      <c r="AM325" s="222"/>
      <c r="AN325" s="222"/>
      <c r="AO325" s="222"/>
    </row>
    <row r="326" spans="1:41" ht="15.75" customHeight="1">
      <c r="A326" s="139" t="s">
        <v>625</v>
      </c>
      <c r="B326" s="168">
        <f>('Pivot Table for Data Exchange'!$M$259)*100</f>
        <v>36.684244767173517</v>
      </c>
      <c r="C326" s="168">
        <f>('Pivot Table for Data Exchange'!$M$262)*100</f>
        <v>5.4853950668148279</v>
      </c>
      <c r="D326" s="169">
        <f>SUM(E326:G326)</f>
        <v>57.830360166011658</v>
      </c>
      <c r="E326" s="168">
        <f>('Pivot Table for Data Exchange'!$M$265)*100</f>
        <v>53.133547989866059</v>
      </c>
      <c r="F326" s="168">
        <f>('Pivot Table for Data Exchange'!$M$268)*100</f>
        <v>4.6968121761455972</v>
      </c>
      <c r="G326" s="176">
        <f>('Pivot Table for Data Exchange'!$M$271)*100</f>
        <v>0</v>
      </c>
      <c r="H326" s="180">
        <f>('Pivot Table for Data Exchange'!$M$274)*100</f>
        <v>0</v>
      </c>
      <c r="I326" s="139"/>
      <c r="J326" s="207"/>
      <c r="K326" s="207"/>
      <c r="L326" s="207"/>
      <c r="M326" s="207"/>
      <c r="N326" s="207"/>
      <c r="O326" s="207"/>
      <c r="P326" s="207"/>
      <c r="Q326" s="173">
        <f t="shared" si="39"/>
        <v>100</v>
      </c>
      <c r="R326" s="173"/>
      <c r="S326" s="222"/>
      <c r="U326" s="222"/>
      <c r="V326" s="222"/>
      <c r="W326" s="222"/>
      <c r="X326" s="222"/>
      <c r="Y326" s="222"/>
      <c r="Z326" s="222"/>
      <c r="AA326" s="222"/>
      <c r="AB326" s="222"/>
      <c r="AC326" s="222"/>
      <c r="AD326" s="222"/>
      <c r="AE326" s="222"/>
      <c r="AF326" s="222"/>
      <c r="AG326" s="222"/>
      <c r="AH326" s="222"/>
      <c r="AI326" s="222"/>
      <c r="AJ326" s="222"/>
      <c r="AK326" s="222"/>
      <c r="AL326" s="222"/>
      <c r="AM326" s="222"/>
      <c r="AN326" s="222"/>
      <c r="AO326" s="222"/>
    </row>
    <row r="327" spans="1:41" ht="12" customHeight="1">
      <c r="B327" s="168"/>
      <c r="C327" s="168"/>
      <c r="D327" s="169"/>
      <c r="E327" s="168"/>
      <c r="F327" s="168"/>
      <c r="G327" s="176"/>
      <c r="H327" s="168"/>
      <c r="I327" s="139"/>
      <c r="J327" s="207"/>
      <c r="K327" s="207"/>
      <c r="L327" s="207"/>
      <c r="M327" s="207"/>
      <c r="N327" s="207"/>
      <c r="O327" s="207"/>
      <c r="P327" s="207"/>
      <c r="Q327" s="173">
        <f t="shared" si="39"/>
        <v>0</v>
      </c>
      <c r="R327" s="173"/>
      <c r="S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row>
    <row r="328" spans="1:41" ht="15.75" customHeight="1">
      <c r="A328" s="139" t="s">
        <v>672</v>
      </c>
      <c r="B328" s="168">
        <f>('Pivot Table for Data Exchange'!$M$295)*100</f>
        <v>0</v>
      </c>
      <c r="C328" s="168">
        <f>('Pivot Table for Data Exchange'!$M$298)*100</f>
        <v>0</v>
      </c>
      <c r="D328" s="169">
        <f>SUM(E328:G328)</f>
        <v>0</v>
      </c>
      <c r="E328" s="168">
        <f>('Pivot Table for Data Exchange'!$M$301)*100</f>
        <v>0</v>
      </c>
      <c r="F328" s="168">
        <f>('Pivot Table for Data Exchange'!$M$304)*100</f>
        <v>0</v>
      </c>
      <c r="G328" s="176">
        <f>('Pivot Table for Data Exchange'!$M$307)*100</f>
        <v>0</v>
      </c>
      <c r="H328" s="168">
        <f>('Pivot Table for Data Exchange'!$M$310)*100</f>
        <v>0</v>
      </c>
      <c r="I328" s="214"/>
      <c r="J328" s="207"/>
      <c r="K328" s="207"/>
      <c r="L328" s="207"/>
      <c r="M328" s="207"/>
      <c r="N328" s="207"/>
      <c r="O328" s="207"/>
      <c r="P328" s="207"/>
      <c r="Q328" s="173">
        <f t="shared" si="39"/>
        <v>0</v>
      </c>
      <c r="R328" s="173"/>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2"/>
      <c r="AN328" s="222"/>
      <c r="AO328" s="222"/>
    </row>
    <row r="329" spans="1:41" ht="15.75" customHeight="1">
      <c r="A329" s="139" t="s">
        <v>627</v>
      </c>
      <c r="B329" s="168">
        <f>('Pivot Table for Data Exchange'!$M$331)*100</f>
        <v>31.013517504079314</v>
      </c>
      <c r="C329" s="168">
        <f>('Pivot Table for Data Exchange'!$M$334)*100</f>
        <v>5.5499057718580733</v>
      </c>
      <c r="D329" s="169">
        <f>SUM(E329:G329)</f>
        <v>63.436576724062611</v>
      </c>
      <c r="E329" s="168">
        <f>('Pivot Table for Data Exchange'!$M$337)*100</f>
        <v>63.436576724062611</v>
      </c>
      <c r="F329" s="168">
        <f>('Pivot Table for Data Exchange'!$M$340)*100</f>
        <v>0</v>
      </c>
      <c r="G329" s="175">
        <f>('Pivot Table for Data Exchange'!$M$343)*100</f>
        <v>0</v>
      </c>
      <c r="H329" s="168">
        <f>('Pivot Table for Data Exchange'!$M$346)*100</f>
        <v>0</v>
      </c>
      <c r="I329" s="139"/>
      <c r="J329" s="207"/>
      <c r="K329" s="207"/>
      <c r="L329" s="207"/>
      <c r="M329" s="207"/>
      <c r="N329" s="207"/>
      <c r="O329" s="207"/>
      <c r="P329" s="207"/>
      <c r="Q329" s="173">
        <f t="shared" si="39"/>
        <v>100</v>
      </c>
      <c r="R329" s="173"/>
      <c r="S329" s="222"/>
      <c r="T329" s="222"/>
      <c r="U329" s="222"/>
      <c r="V329" s="222"/>
      <c r="W329" s="222"/>
      <c r="X329" s="222"/>
      <c r="Y329" s="222"/>
      <c r="Z329" s="222"/>
      <c r="AA329" s="222"/>
      <c r="AB329" s="222"/>
      <c r="AC329" s="222"/>
      <c r="AD329" s="222"/>
      <c r="AE329" s="222"/>
      <c r="AF329" s="222"/>
      <c r="AG329" s="222"/>
      <c r="AH329" s="222"/>
      <c r="AI329" s="222"/>
      <c r="AJ329" s="222"/>
      <c r="AK329" s="222"/>
      <c r="AL329" s="222"/>
      <c r="AM329" s="222"/>
      <c r="AN329" s="222"/>
      <c r="AO329" s="222"/>
    </row>
    <row r="330" spans="1:41" ht="15.75" customHeight="1">
      <c r="A330" s="139" t="s">
        <v>628</v>
      </c>
      <c r="B330" s="168">
        <f>('Pivot Table for Data Exchange'!$M$367)*100</f>
        <v>0</v>
      </c>
      <c r="C330" s="168">
        <f>('Pivot Table for Data Exchange'!$M$370)*100</f>
        <v>0</v>
      </c>
      <c r="D330" s="169">
        <f>SUM(E330:G330)</f>
        <v>0</v>
      </c>
      <c r="E330" s="168">
        <f>('Pivot Table for Data Exchange'!$M$373)*100</f>
        <v>0</v>
      </c>
      <c r="F330" s="168">
        <f>('Pivot Table for Data Exchange'!$M$376)*100</f>
        <v>0</v>
      </c>
      <c r="G330" s="175">
        <f>('Pivot Table for Data Exchange'!$M$379)*100</f>
        <v>0</v>
      </c>
      <c r="H330" s="168">
        <f>('Pivot Table for Data Exchange'!$M$382)*100</f>
        <v>0</v>
      </c>
      <c r="I330" s="139"/>
      <c r="J330" s="207"/>
      <c r="K330" s="207"/>
      <c r="L330" s="207"/>
      <c r="M330" s="207"/>
      <c r="N330" s="207"/>
      <c r="O330" s="207"/>
      <c r="P330" s="207"/>
      <c r="Q330" s="173">
        <f t="shared" si="39"/>
        <v>0</v>
      </c>
      <c r="R330" s="173"/>
      <c r="S330" s="222"/>
      <c r="T330" s="226"/>
      <c r="U330" s="222"/>
      <c r="V330" s="222"/>
      <c r="W330" s="222"/>
      <c r="X330" s="222"/>
      <c r="Y330" s="222"/>
      <c r="Z330" s="222"/>
      <c r="AA330" s="222"/>
      <c r="AB330" s="222"/>
      <c r="AC330" s="222"/>
      <c r="AD330" s="222"/>
      <c r="AE330" s="222"/>
      <c r="AF330" s="222"/>
      <c r="AG330" s="222"/>
      <c r="AH330" s="222"/>
      <c r="AI330" s="222"/>
      <c r="AJ330" s="222"/>
      <c r="AK330" s="222"/>
      <c r="AL330" s="222"/>
      <c r="AM330" s="222"/>
      <c r="AN330" s="222"/>
      <c r="AO330" s="222"/>
    </row>
    <row r="331" spans="1:41" ht="15.75" customHeight="1">
      <c r="A331" s="139" t="s">
        <v>629</v>
      </c>
      <c r="B331" s="168">
        <f>('Pivot Table for Data Exchange'!$M$403)*100</f>
        <v>29.383868090207123</v>
      </c>
      <c r="C331" s="168">
        <f>('Pivot Table for Data Exchange'!$M$406)*100</f>
        <v>7.562616731246341</v>
      </c>
      <c r="D331" s="169">
        <f>SUM(E331:G331)</f>
        <v>63.05351517854654</v>
      </c>
      <c r="E331" s="168">
        <f>('Pivot Table for Data Exchange'!$M$409)*100</f>
        <v>62.253296351016083</v>
      </c>
      <c r="F331" s="168">
        <f>('Pivot Table for Data Exchange'!$M$412)*100</f>
        <v>0.8002188275304547</v>
      </c>
      <c r="G331" s="178">
        <f>('Pivot Table for Data Exchange'!$M$415)*100</f>
        <v>0</v>
      </c>
      <c r="H331" s="168">
        <f>('Pivot Table for Data Exchange'!$M$418)*100</f>
        <v>0</v>
      </c>
      <c r="I331" s="139"/>
      <c r="J331" s="207"/>
      <c r="K331" s="207"/>
      <c r="L331" s="207"/>
      <c r="M331" s="207"/>
      <c r="N331" s="207"/>
      <c r="O331" s="207"/>
      <c r="P331" s="207"/>
      <c r="Q331" s="173">
        <f t="shared" si="39"/>
        <v>100</v>
      </c>
      <c r="R331" s="173"/>
      <c r="S331" s="222"/>
      <c r="T331" s="222"/>
      <c r="U331" s="222"/>
      <c r="V331" s="222"/>
      <c r="W331" s="222"/>
      <c r="X331" s="222"/>
      <c r="Y331" s="222"/>
      <c r="Z331" s="222"/>
      <c r="AA331" s="222"/>
      <c r="AB331" s="222"/>
      <c r="AC331" s="222"/>
      <c r="AD331" s="222"/>
      <c r="AE331" s="222"/>
      <c r="AF331" s="222"/>
      <c r="AG331" s="222"/>
      <c r="AH331" s="222"/>
      <c r="AI331" s="222"/>
      <c r="AJ331" s="222"/>
      <c r="AK331" s="222"/>
      <c r="AL331" s="222"/>
      <c r="AM331" s="222"/>
      <c r="AN331" s="222"/>
      <c r="AO331" s="222"/>
    </row>
    <row r="332" spans="1:41" ht="12.75" customHeight="1">
      <c r="B332" s="168"/>
      <c r="C332" s="168"/>
      <c r="D332" s="169"/>
      <c r="E332" s="168"/>
      <c r="F332" s="168"/>
      <c r="G332" s="176"/>
      <c r="H332" s="168"/>
      <c r="I332" s="139"/>
      <c r="J332" s="207"/>
      <c r="K332" s="207"/>
      <c r="L332" s="207"/>
      <c r="M332" s="207"/>
      <c r="N332" s="207"/>
      <c r="O332" s="207"/>
      <c r="P332" s="207"/>
      <c r="Q332" s="173">
        <f t="shared" si="39"/>
        <v>0</v>
      </c>
      <c r="R332" s="173"/>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2"/>
      <c r="AN332" s="222"/>
      <c r="AO332" s="222"/>
    </row>
    <row r="333" spans="1:41" ht="15.75" customHeight="1">
      <c r="A333" s="139" t="s">
        <v>630</v>
      </c>
      <c r="B333" s="168">
        <f>('Pivot Table for Data Exchange'!$M$439)*100</f>
        <v>19.309271925847639</v>
      </c>
      <c r="C333" s="168">
        <f>('Pivot Table for Data Exchange'!$M$442)*100</f>
        <v>24.266459643339648</v>
      </c>
      <c r="D333" s="169">
        <f>SUM(E333:G333)</f>
        <v>56.228061263944127</v>
      </c>
      <c r="E333" s="168">
        <f>('Pivot Table for Data Exchange'!$M$445)*100</f>
        <v>39.873268972126148</v>
      </c>
      <c r="F333" s="168">
        <f>('Pivot Table for Data Exchange'!$M$448)*100</f>
        <v>1.7811789715651238</v>
      </c>
      <c r="G333" s="176">
        <f>('Pivot Table for Data Exchange'!$M$451)*100</f>
        <v>14.573613320252857</v>
      </c>
      <c r="H333" s="168">
        <f>('Pivot Table for Data Exchange'!$M$454)*100</f>
        <v>0.19620716686858516</v>
      </c>
      <c r="I333" s="139"/>
      <c r="J333" s="207"/>
      <c r="K333" s="207"/>
      <c r="L333" s="207"/>
      <c r="M333" s="207"/>
      <c r="N333" s="207"/>
      <c r="O333" s="207"/>
      <c r="P333" s="207"/>
      <c r="Q333" s="173">
        <f t="shared" si="39"/>
        <v>100</v>
      </c>
      <c r="R333" s="173"/>
      <c r="S333" s="222"/>
      <c r="T333" s="222"/>
      <c r="U333" s="222"/>
      <c r="V333" s="222"/>
      <c r="W333" s="222"/>
      <c r="X333" s="222"/>
      <c r="Y333" s="222"/>
      <c r="Z333" s="222"/>
      <c r="AA333" s="222"/>
      <c r="AB333" s="222"/>
      <c r="AC333" s="222"/>
      <c r="AD333" s="222"/>
      <c r="AE333" s="222"/>
      <c r="AF333" s="222"/>
      <c r="AG333" s="222"/>
      <c r="AH333" s="222"/>
      <c r="AI333" s="222"/>
      <c r="AJ333" s="222"/>
      <c r="AK333" s="222"/>
      <c r="AL333" s="222"/>
      <c r="AM333" s="222"/>
      <c r="AN333" s="222"/>
      <c r="AO333" s="222"/>
    </row>
    <row r="334" spans="1:41" ht="15.75" customHeight="1">
      <c r="A334" s="139" t="s">
        <v>631</v>
      </c>
      <c r="B334" s="168">
        <f>('Pivot Table for Data Exchange'!$M$475)*100</f>
        <v>26.371594911962156</v>
      </c>
      <c r="C334" s="168">
        <f>('Pivot Table for Data Exchange'!$M$478)*100</f>
        <v>14.730585374212538</v>
      </c>
      <c r="D334" s="169">
        <f>SUM(E334:G334)</f>
        <v>58.897819713825307</v>
      </c>
      <c r="E334" s="168">
        <f>('Pivot Table for Data Exchange'!$M$481)*100</f>
        <v>55.425011881036014</v>
      </c>
      <c r="F334" s="168">
        <f>('Pivot Table for Data Exchange'!$M$484)*100</f>
        <v>3.2462873345201713</v>
      </c>
      <c r="G334" s="176">
        <f>('Pivot Table for Data Exchange'!$M$487)*100</f>
        <v>0.22652049826912513</v>
      </c>
      <c r="H334" s="168">
        <f>('Pivot Table for Data Exchange'!$M$490)*100</f>
        <v>0</v>
      </c>
      <c r="I334" s="139"/>
      <c r="J334" s="207"/>
      <c r="K334" s="207"/>
      <c r="L334" s="207"/>
      <c r="M334" s="207"/>
      <c r="N334" s="207"/>
      <c r="O334" s="207"/>
      <c r="P334" s="207"/>
      <c r="Q334" s="173">
        <f t="shared" si="39"/>
        <v>100</v>
      </c>
      <c r="R334" s="173"/>
      <c r="S334" s="222"/>
      <c r="T334" s="222"/>
      <c r="U334" s="222"/>
      <c r="V334" s="222"/>
      <c r="W334" s="222"/>
      <c r="X334" s="222"/>
      <c r="Y334" s="222"/>
      <c r="Z334" s="222"/>
      <c r="AA334" s="222"/>
      <c r="AB334" s="222"/>
      <c r="AC334" s="222"/>
      <c r="AD334" s="222"/>
      <c r="AE334" s="222"/>
      <c r="AF334" s="222"/>
      <c r="AG334" s="222"/>
      <c r="AH334" s="222"/>
      <c r="AI334" s="222"/>
      <c r="AJ334" s="222"/>
      <c r="AK334" s="222"/>
      <c r="AL334" s="222"/>
      <c r="AM334" s="222"/>
      <c r="AN334" s="222"/>
      <c r="AO334" s="222"/>
    </row>
    <row r="335" spans="1:41" ht="15.75" customHeight="1">
      <c r="A335" s="139" t="s">
        <v>632</v>
      </c>
      <c r="B335" s="168">
        <f>('Pivot Table for Data Exchange'!$M$511)*100</f>
        <v>20.114308249259508</v>
      </c>
      <c r="C335" s="168">
        <f>('Pivot Table for Data Exchange'!$M$514)*100</f>
        <v>20.090050728009352</v>
      </c>
      <c r="D335" s="169">
        <f>SUM(E335:G335)</f>
        <v>59.795641022731139</v>
      </c>
      <c r="E335" s="168">
        <f>('Pivot Table for Data Exchange'!$M$517)*100</f>
        <v>54.320817776365516</v>
      </c>
      <c r="F335" s="168">
        <f>('Pivot Table for Data Exchange'!$M$520)*100</f>
        <v>5.292679051715333</v>
      </c>
      <c r="G335" s="176">
        <f>('Pivot Table for Data Exchange'!$M$523)*100</f>
        <v>0.18214419465029449</v>
      </c>
      <c r="H335" s="168">
        <f>('Pivot Table for Data Exchange'!$M$526)*100</f>
        <v>0</v>
      </c>
      <c r="I335" s="139"/>
      <c r="J335" s="207"/>
      <c r="K335" s="207"/>
      <c r="L335" s="207"/>
      <c r="M335" s="207"/>
      <c r="N335" s="207"/>
      <c r="O335" s="207"/>
      <c r="P335" s="207"/>
      <c r="Q335" s="173">
        <f t="shared" si="39"/>
        <v>100</v>
      </c>
      <c r="R335" s="173"/>
      <c r="S335" s="222"/>
      <c r="T335" s="222"/>
      <c r="U335" s="222"/>
      <c r="V335" s="222"/>
      <c r="W335" s="222"/>
      <c r="X335" s="222"/>
      <c r="Y335" s="222"/>
      <c r="Z335" s="222"/>
      <c r="AA335" s="222"/>
      <c r="AB335" s="222"/>
      <c r="AC335" s="222"/>
      <c r="AD335" s="222"/>
      <c r="AE335" s="222"/>
      <c r="AF335" s="222"/>
      <c r="AG335" s="222"/>
      <c r="AH335" s="222"/>
      <c r="AI335" s="222"/>
      <c r="AJ335" s="222"/>
      <c r="AK335" s="222"/>
      <c r="AL335" s="222"/>
      <c r="AM335" s="222"/>
      <c r="AN335" s="222"/>
      <c r="AO335" s="222"/>
    </row>
    <row r="336" spans="1:41" ht="15.75" customHeight="1">
      <c r="A336" s="145" t="s">
        <v>633</v>
      </c>
      <c r="B336" s="181">
        <f>('Pivot Table for Data Exchange'!$M$547)*100</f>
        <v>35.058601431605439</v>
      </c>
      <c r="C336" s="181">
        <f>('Pivot Table for Data Exchange'!$M$550)*100</f>
        <v>9.7577283096043423</v>
      </c>
      <c r="D336" s="182">
        <f>SUM(E336:G336)</f>
        <v>55.183670258790215</v>
      </c>
      <c r="E336" s="181">
        <f>('Pivot Table for Data Exchange'!$M$553)*100</f>
        <v>55.183670258790215</v>
      </c>
      <c r="F336" s="181">
        <f>('Pivot Table for Data Exchange'!$M$556)*100</f>
        <v>0</v>
      </c>
      <c r="G336" s="204">
        <f>('Pivot Table for Data Exchange'!$M$559)*100</f>
        <v>0</v>
      </c>
      <c r="H336" s="181">
        <f>('Pivot Table for Data Exchange'!$M$562)*100</f>
        <v>0</v>
      </c>
      <c r="I336" s="139"/>
      <c r="J336" s="207"/>
      <c r="K336" s="207"/>
      <c r="L336" s="207"/>
      <c r="M336" s="207"/>
      <c r="N336" s="207"/>
      <c r="O336" s="207"/>
      <c r="P336" s="207"/>
      <c r="Q336" s="173">
        <f t="shared" si="39"/>
        <v>100</v>
      </c>
      <c r="R336" s="173"/>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row>
    <row r="337" spans="1:41" s="212" customFormat="1" ht="12" customHeight="1">
      <c r="A337" s="187" t="s">
        <v>658</v>
      </c>
      <c r="B337" s="188"/>
      <c r="C337" s="188"/>
      <c r="D337" s="189"/>
      <c r="E337" s="188"/>
      <c r="F337" s="189"/>
      <c r="G337" s="189"/>
      <c r="H337" s="188"/>
      <c r="I337" s="197"/>
      <c r="J337" s="188"/>
      <c r="K337" s="188"/>
      <c r="L337" s="189"/>
      <c r="M337" s="188"/>
      <c r="N337" s="189"/>
      <c r="O337" s="189"/>
      <c r="P337" s="188"/>
      <c r="Q337" s="173">
        <f t="shared" si="39"/>
        <v>0</v>
      </c>
      <c r="R337" s="208"/>
      <c r="S337" s="225"/>
      <c r="T337" s="225"/>
      <c r="U337" s="225"/>
      <c r="V337" s="225"/>
      <c r="W337" s="225"/>
      <c r="X337" s="225"/>
      <c r="Y337" s="225"/>
      <c r="Z337" s="225"/>
      <c r="AA337" s="225"/>
      <c r="AB337" s="225"/>
      <c r="AC337" s="225"/>
      <c r="AD337" s="225"/>
      <c r="AE337" s="225"/>
      <c r="AF337" s="225"/>
      <c r="AG337" s="225"/>
      <c r="AH337" s="225"/>
      <c r="AI337" s="225"/>
      <c r="AJ337" s="225"/>
      <c r="AK337" s="225"/>
      <c r="AL337" s="225"/>
      <c r="AM337" s="225"/>
      <c r="AN337" s="225"/>
      <c r="AO337" s="225"/>
    </row>
    <row r="338" spans="1:41" s="212" customFormat="1" ht="24" customHeight="1">
      <c r="A338" s="492" t="s">
        <v>673</v>
      </c>
      <c r="B338" s="493"/>
      <c r="C338" s="493"/>
      <c r="D338" s="493"/>
      <c r="E338" s="493"/>
      <c r="F338" s="493"/>
      <c r="G338" s="493"/>
      <c r="H338" s="493"/>
      <c r="I338" s="197"/>
      <c r="J338" s="186"/>
      <c r="K338" s="186"/>
      <c r="L338" s="186"/>
      <c r="M338" s="186"/>
      <c r="N338" s="186"/>
      <c r="O338" s="186"/>
      <c r="P338" s="199"/>
      <c r="Q338" s="173">
        <f t="shared" si="39"/>
        <v>0</v>
      </c>
      <c r="R338" s="209"/>
    </row>
    <row r="339" spans="1:41" s="212" customFormat="1" ht="11.25" customHeight="1">
      <c r="A339" s="185"/>
      <c r="B339" s="227"/>
      <c r="C339" s="227"/>
      <c r="D339" s="227"/>
      <c r="E339" s="227"/>
      <c r="F339" s="227"/>
      <c r="G339" s="227"/>
      <c r="H339" s="227"/>
      <c r="I339" s="197"/>
      <c r="J339" s="186"/>
      <c r="K339" s="186"/>
      <c r="L339" s="186"/>
      <c r="M339" s="186"/>
      <c r="N339" s="186"/>
      <c r="O339" s="186"/>
      <c r="P339" s="199"/>
      <c r="Q339" s="173"/>
      <c r="R339" s="209"/>
    </row>
    <row r="340" spans="1:41" s="212" customFormat="1">
      <c r="A340" s="186"/>
      <c r="B340" s="186"/>
      <c r="C340" s="186"/>
      <c r="D340" s="186"/>
      <c r="E340" s="186"/>
      <c r="F340" s="186"/>
      <c r="G340" s="186"/>
      <c r="H340" s="192" t="s">
        <v>923</v>
      </c>
      <c r="I340" s="186"/>
      <c r="J340" s="186"/>
      <c r="K340" s="186"/>
      <c r="L340" s="186"/>
      <c r="M340" s="186"/>
      <c r="N340" s="186"/>
      <c r="O340" s="186"/>
      <c r="P340" s="186"/>
      <c r="Q340" s="173">
        <f t="shared" si="39"/>
        <v>0</v>
      </c>
    </row>
    <row r="341" spans="1:41" ht="18">
      <c r="A341" s="134" t="s">
        <v>678</v>
      </c>
      <c r="B341" s="135"/>
      <c r="C341" s="135"/>
      <c r="D341" s="135"/>
      <c r="E341" s="135"/>
      <c r="F341" s="135"/>
      <c r="G341" s="135"/>
      <c r="H341" s="135"/>
      <c r="L341" s="135"/>
      <c r="Q341" s="173">
        <f t="shared" si="39"/>
        <v>0</v>
      </c>
    </row>
    <row r="342" spans="1:41" ht="13">
      <c r="A342" s="140"/>
      <c r="B342" s="136"/>
      <c r="C342" s="136"/>
      <c r="D342" s="136"/>
      <c r="E342" s="136"/>
      <c r="F342" s="136"/>
      <c r="G342" s="136"/>
      <c r="H342" s="136"/>
      <c r="Q342" s="173">
        <f t="shared" si="39"/>
        <v>0</v>
      </c>
    </row>
    <row r="343" spans="1:41" ht="15.5">
      <c r="A343" s="142" t="s">
        <v>639</v>
      </c>
      <c r="B343" s="136"/>
      <c r="C343" s="136"/>
      <c r="D343" s="136"/>
      <c r="E343" s="136"/>
      <c r="F343" s="136"/>
      <c r="G343" s="136"/>
      <c r="H343" s="136"/>
      <c r="L343" s="136"/>
      <c r="Q343" s="173">
        <f t="shared" si="39"/>
        <v>0</v>
      </c>
    </row>
    <row r="344" spans="1:41" ht="15.5">
      <c r="A344" s="142" t="s">
        <v>892</v>
      </c>
      <c r="B344" s="136"/>
      <c r="C344" s="136"/>
      <c r="D344" s="136"/>
      <c r="E344" s="136"/>
      <c r="F344" s="136"/>
      <c r="G344" s="136"/>
      <c r="H344" s="136"/>
      <c r="Q344" s="173">
        <f t="shared" si="39"/>
        <v>0</v>
      </c>
    </row>
    <row r="345" spans="1:41">
      <c r="A345" s="145"/>
      <c r="B345" s="146"/>
      <c r="C345" s="146"/>
      <c r="D345" s="146"/>
      <c r="E345" s="146"/>
      <c r="F345" s="146"/>
      <c r="G345" s="146"/>
      <c r="H345" s="146"/>
      <c r="Q345" s="173">
        <f t="shared" si="39"/>
        <v>0</v>
      </c>
    </row>
    <row r="346" spans="1:41">
      <c r="A346" s="150"/>
      <c r="B346" s="151" t="s">
        <v>641</v>
      </c>
      <c r="C346" s="151"/>
      <c r="D346" s="151"/>
      <c r="E346" s="151"/>
      <c r="F346" s="151"/>
      <c r="G346" s="151"/>
      <c r="H346" s="152"/>
      <c r="Q346" s="173">
        <f t="shared" si="39"/>
        <v>0</v>
      </c>
    </row>
    <row r="347" spans="1:41">
      <c r="A347" s="150"/>
      <c r="B347" s="151" t="s">
        <v>642</v>
      </c>
      <c r="C347" s="151"/>
      <c r="D347" s="487" t="s">
        <v>643</v>
      </c>
      <c r="E347" s="485"/>
      <c r="F347" s="485"/>
      <c r="G347" s="485"/>
      <c r="H347" s="158" t="s">
        <v>533</v>
      </c>
      <c r="Q347" s="173">
        <f t="shared" ref="Q347:Q410" si="44">SUM(B347,C347,D347,H347)</f>
        <v>0</v>
      </c>
    </row>
    <row r="348" spans="1:41" ht="34.5">
      <c r="A348" s="150"/>
      <c r="B348" s="159" t="s">
        <v>644</v>
      </c>
      <c r="C348" s="160" t="s">
        <v>645</v>
      </c>
      <c r="D348" s="161" t="s">
        <v>646</v>
      </c>
      <c r="E348" s="162" t="s">
        <v>8</v>
      </c>
      <c r="F348" s="159" t="s">
        <v>647</v>
      </c>
      <c r="G348" s="163" t="s">
        <v>656</v>
      </c>
      <c r="H348" s="164" t="s">
        <v>649</v>
      </c>
      <c r="Q348" s="173">
        <f t="shared" si="44"/>
        <v>0</v>
      </c>
    </row>
    <row r="349" spans="1:41" ht="15.75" customHeight="1">
      <c r="A349" s="194" t="s">
        <v>618</v>
      </c>
      <c r="B349" s="221">
        <f>('Pivot Table for Data Exchange'!$N$7)*100</f>
        <v>40.982549983973421</v>
      </c>
      <c r="C349" s="168">
        <f>('Pivot Table for Data Exchange'!$N$10)*100</f>
        <v>2.6507618657007064</v>
      </c>
      <c r="D349" s="169">
        <f>SUM(E349:G349)</f>
        <v>56.34014951248178</v>
      </c>
      <c r="E349" s="168">
        <f>('Pivot Table for Data Exchange'!$N$13)*100</f>
        <v>56.319125396787108</v>
      </c>
      <c r="F349" s="168">
        <f>('Pivot Table for Data Exchange'!$N$16)*100</f>
        <v>0</v>
      </c>
      <c r="G349" s="172">
        <f>('Pivot Table for Data Exchange'!$N$19)*100</f>
        <v>2.1024115694674696E-2</v>
      </c>
      <c r="H349" s="168">
        <f>('Pivot Table for Data Exchange'!$N$22)*100</f>
        <v>2.6538637844097566E-2</v>
      </c>
      <c r="I349" s="139"/>
      <c r="J349" s="207"/>
      <c r="K349" s="207"/>
      <c r="L349" s="207"/>
      <c r="M349" s="207"/>
      <c r="N349" s="207"/>
      <c r="O349" s="207"/>
      <c r="P349" s="207"/>
      <c r="Q349" s="173">
        <f t="shared" si="44"/>
        <v>100.00000000000001</v>
      </c>
      <c r="R349" s="173"/>
      <c r="S349" s="222"/>
      <c r="T349" s="222"/>
      <c r="U349" s="222"/>
      <c r="V349" s="222"/>
      <c r="W349" s="222"/>
      <c r="X349" s="222"/>
      <c r="Y349" s="222"/>
      <c r="Z349" s="222"/>
      <c r="AA349" s="222"/>
      <c r="AB349" s="222"/>
      <c r="AC349" s="222"/>
      <c r="AD349" s="222"/>
      <c r="AE349" s="222"/>
      <c r="AF349" s="222"/>
      <c r="AG349" s="222"/>
      <c r="AH349" s="222"/>
      <c r="AI349" s="222"/>
      <c r="AJ349" s="222"/>
      <c r="AK349" s="222"/>
      <c r="AL349" s="222"/>
      <c r="AM349" s="222"/>
      <c r="AN349" s="222"/>
      <c r="AO349" s="222"/>
    </row>
    <row r="350" spans="1:41" ht="15.75" customHeight="1">
      <c r="A350" s="139" t="s">
        <v>619</v>
      </c>
      <c r="B350" s="168">
        <f>('Pivot Table for Data Exchange'!$N$43)*100</f>
        <v>54.903094127332594</v>
      </c>
      <c r="C350" s="168">
        <f>('Pivot Table for Data Exchange'!$N$46)*100</f>
        <v>9.2271542261251369</v>
      </c>
      <c r="D350" s="169">
        <f t="shared" ref="D350:D352" si="45">SUM(E350:G350)</f>
        <v>35.869751646542262</v>
      </c>
      <c r="E350" s="168">
        <f>('Pivot Table for Data Exchange'!$N$49)*100</f>
        <v>34.351330954994516</v>
      </c>
      <c r="F350" s="168">
        <f>('Pivot Table for Data Exchange'!$N$52)*100</f>
        <v>1.4451838638858396</v>
      </c>
      <c r="G350" s="175">
        <f>('Pivot Table for Data Exchange'!$N$55)*100</f>
        <v>7.3236827661909989E-2</v>
      </c>
      <c r="H350" s="177">
        <f>('Pivot Table for Data Exchange'!$N$58)*100</f>
        <v>0</v>
      </c>
      <c r="I350" s="139"/>
      <c r="J350" s="207"/>
      <c r="K350" s="207"/>
      <c r="L350" s="207"/>
      <c r="M350" s="207"/>
      <c r="N350" s="207"/>
      <c r="O350" s="207"/>
      <c r="P350" s="207"/>
      <c r="Q350" s="173">
        <f t="shared" si="44"/>
        <v>100</v>
      </c>
      <c r="R350" s="173"/>
      <c r="S350" s="222"/>
      <c r="T350" s="222"/>
      <c r="U350" s="222"/>
      <c r="V350" s="222"/>
      <c r="W350" s="222"/>
      <c r="X350" s="222"/>
      <c r="Y350" s="222"/>
      <c r="Z350" s="222"/>
      <c r="AA350" s="222"/>
      <c r="AB350" s="222"/>
      <c r="AC350" s="222"/>
      <c r="AD350" s="222"/>
      <c r="AE350" s="222"/>
      <c r="AF350" s="222"/>
      <c r="AG350" s="222"/>
      <c r="AH350" s="222"/>
      <c r="AI350" s="222"/>
      <c r="AJ350" s="222"/>
      <c r="AK350" s="222"/>
      <c r="AL350" s="222"/>
      <c r="AM350" s="222"/>
      <c r="AN350" s="222"/>
      <c r="AO350" s="222"/>
    </row>
    <row r="351" spans="1:41" ht="15.75" customHeight="1">
      <c r="A351" s="139" t="s">
        <v>620</v>
      </c>
      <c r="B351" s="168">
        <f>('Pivot Table for Data Exchange'!$N$79)*100</f>
        <v>0</v>
      </c>
      <c r="C351" s="168">
        <f>('Pivot Table for Data Exchange'!$N$82)*100</f>
        <v>0</v>
      </c>
      <c r="D351" s="169">
        <f t="shared" si="45"/>
        <v>0</v>
      </c>
      <c r="E351" s="168">
        <f>('Pivot Table for Data Exchange'!$N$85)*100</f>
        <v>0</v>
      </c>
      <c r="F351" s="168">
        <f>('Pivot Table for Data Exchange'!$N$88)*100</f>
        <v>0</v>
      </c>
      <c r="G351" s="176">
        <f>('Pivot Table for Data Exchange'!$N$91)*100</f>
        <v>0</v>
      </c>
      <c r="H351" s="168">
        <f>('Pivot Table for Data Exchange'!$N$94)*100</f>
        <v>0</v>
      </c>
      <c r="I351" s="139"/>
      <c r="J351" s="207"/>
      <c r="K351" s="207"/>
      <c r="L351" s="207"/>
      <c r="M351" s="207"/>
      <c r="N351" s="207"/>
      <c r="O351" s="207"/>
      <c r="P351" s="207"/>
      <c r="Q351" s="173">
        <f t="shared" si="44"/>
        <v>0</v>
      </c>
      <c r="R351" s="173"/>
      <c r="S351" s="222"/>
      <c r="T351" s="226"/>
      <c r="U351" s="222"/>
      <c r="V351" s="222"/>
      <c r="W351" s="222"/>
      <c r="X351" s="222"/>
      <c r="Y351" s="222"/>
      <c r="Z351" s="222"/>
      <c r="AA351" s="222"/>
      <c r="AB351" s="222"/>
      <c r="AC351" s="222"/>
      <c r="AD351" s="222"/>
      <c r="AE351" s="222"/>
      <c r="AF351" s="222"/>
      <c r="AG351" s="222"/>
      <c r="AH351" s="222"/>
      <c r="AI351" s="222"/>
      <c r="AJ351" s="222"/>
      <c r="AK351" s="222"/>
      <c r="AL351" s="222"/>
      <c r="AM351" s="222"/>
      <c r="AN351" s="222"/>
      <c r="AO351" s="222"/>
    </row>
    <row r="352" spans="1:41" ht="15.75" customHeight="1">
      <c r="A352" s="139" t="s">
        <v>657</v>
      </c>
      <c r="B352" s="168">
        <f>('Pivot Table for Data Exchange'!$N$115)*100</f>
        <v>39.378129240559637</v>
      </c>
      <c r="C352" s="168">
        <f>('Pivot Table for Data Exchange'!$N$118)*100</f>
        <v>3.6568246689438957</v>
      </c>
      <c r="D352" s="169">
        <f t="shared" si="45"/>
        <v>56.965046090496472</v>
      </c>
      <c r="E352" s="168">
        <f>('Pivot Table for Data Exchange'!$N$121)*100</f>
        <v>56.422254456974407</v>
      </c>
      <c r="F352" s="168">
        <f>('Pivot Table for Data Exchange'!$N$124)*100</f>
        <v>0.54279163352206261</v>
      </c>
      <c r="G352" s="176">
        <f>('Pivot Table for Data Exchange'!$N$127)*100</f>
        <v>0</v>
      </c>
      <c r="H352" s="168">
        <f>('Pivot Table for Data Exchange'!$N$130)*100</f>
        <v>0</v>
      </c>
      <c r="I352" s="139"/>
      <c r="J352" s="207"/>
      <c r="K352" s="207"/>
      <c r="L352" s="207"/>
      <c r="M352" s="207"/>
      <c r="N352" s="207"/>
      <c r="O352" s="207"/>
      <c r="P352" s="207"/>
      <c r="Q352" s="173">
        <f t="shared" si="44"/>
        <v>100</v>
      </c>
      <c r="R352" s="173"/>
      <c r="S352" s="222"/>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row>
    <row r="353" spans="1:41" ht="15.75" customHeight="1">
      <c r="B353" s="168"/>
      <c r="C353" s="168"/>
      <c r="D353" s="169"/>
      <c r="E353" s="168"/>
      <c r="F353" s="168"/>
      <c r="G353" s="176"/>
      <c r="H353" s="168"/>
      <c r="I353" s="139"/>
      <c r="J353" s="207"/>
      <c r="K353" s="207"/>
      <c r="L353" s="207"/>
      <c r="M353" s="207"/>
      <c r="N353" s="207"/>
      <c r="O353" s="207"/>
      <c r="P353" s="207"/>
      <c r="Q353" s="173">
        <f t="shared" si="44"/>
        <v>0</v>
      </c>
      <c r="R353" s="173"/>
      <c r="S353" s="222"/>
      <c r="U353" s="222"/>
      <c r="V353" s="222"/>
      <c r="W353" s="222"/>
      <c r="X353" s="222"/>
      <c r="Y353" s="222"/>
      <c r="Z353" s="222"/>
      <c r="AA353" s="222"/>
      <c r="AB353" s="222"/>
      <c r="AC353" s="222"/>
      <c r="AD353" s="222"/>
      <c r="AE353" s="222"/>
      <c r="AF353" s="222"/>
      <c r="AG353" s="222"/>
      <c r="AH353" s="222"/>
      <c r="AI353" s="222"/>
      <c r="AJ353" s="222"/>
      <c r="AK353" s="222"/>
      <c r="AL353" s="222"/>
      <c r="AM353" s="222"/>
      <c r="AN353" s="222"/>
      <c r="AO353" s="222"/>
    </row>
    <row r="354" spans="1:41" ht="15.75" customHeight="1">
      <c r="A354" s="139" t="s">
        <v>622</v>
      </c>
      <c r="B354" s="168">
        <f>('Pivot Table for Data Exchange'!$N$151)*100</f>
        <v>0</v>
      </c>
      <c r="C354" s="168">
        <f>('Pivot Table for Data Exchange'!$N$154)*100</f>
        <v>0</v>
      </c>
      <c r="D354" s="169">
        <f t="shared" ref="D354:D355" si="46">SUM(E354:G354)</f>
        <v>0</v>
      </c>
      <c r="E354" s="168">
        <f>('Pivot Table for Data Exchange'!$N$157)*100</f>
        <v>0</v>
      </c>
      <c r="F354" s="168">
        <f>('Pivot Table for Data Exchange'!$N$160)*100</f>
        <v>0</v>
      </c>
      <c r="G354" s="176">
        <f>('Pivot Table for Data Exchange'!$N$163)*100</f>
        <v>0</v>
      </c>
      <c r="H354" s="168">
        <f>('Pivot Table for Data Exchange'!$N$166)*100</f>
        <v>0</v>
      </c>
      <c r="I354" s="139"/>
      <c r="J354" s="207"/>
      <c r="K354" s="207"/>
      <c r="L354" s="207"/>
      <c r="M354" s="207"/>
      <c r="N354" s="207"/>
      <c r="O354" s="207"/>
      <c r="P354" s="207"/>
      <c r="Q354" s="173">
        <f t="shared" si="44"/>
        <v>0</v>
      </c>
      <c r="R354" s="173"/>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row>
    <row r="355" spans="1:41" ht="15.75" customHeight="1">
      <c r="A355" s="139" t="s">
        <v>623</v>
      </c>
      <c r="B355" s="168">
        <f>('Pivot Table for Data Exchange'!$N$187)*100</f>
        <v>40.246145403036216</v>
      </c>
      <c r="C355" s="168">
        <f>('Pivot Table for Data Exchange'!$N$190)*100</f>
        <v>5.8206453622468279</v>
      </c>
      <c r="D355" s="169">
        <f t="shared" si="46"/>
        <v>53.933209234716962</v>
      </c>
      <c r="E355" s="168">
        <f>('Pivot Table for Data Exchange'!$N$193)*100</f>
        <v>53.933209234716962</v>
      </c>
      <c r="F355" s="168">
        <f>('Pivot Table for Data Exchange'!$N$196)*100</f>
        <v>0</v>
      </c>
      <c r="G355" s="176">
        <f>('Pivot Table for Data Exchange'!$N$199)*100</f>
        <v>0</v>
      </c>
      <c r="H355" s="168">
        <f>('Pivot Table for Data Exchange'!$N$202)*100</f>
        <v>0</v>
      </c>
      <c r="I355" s="139"/>
      <c r="J355" s="207"/>
      <c r="K355" s="207"/>
      <c r="L355" s="207"/>
      <c r="M355" s="207"/>
      <c r="N355" s="207"/>
      <c r="O355" s="207"/>
      <c r="P355" s="207"/>
      <c r="Q355" s="173">
        <f t="shared" si="44"/>
        <v>100</v>
      </c>
      <c r="R355" s="173"/>
      <c r="S355" s="222"/>
      <c r="T355" s="222"/>
      <c r="U355" s="222"/>
      <c r="V355" s="222"/>
      <c r="W355" s="222"/>
      <c r="X355" s="222"/>
      <c r="Y355" s="222"/>
      <c r="Z355" s="222"/>
      <c r="AA355" s="222"/>
      <c r="AB355" s="222"/>
      <c r="AC355" s="222"/>
      <c r="AD355" s="222"/>
      <c r="AE355" s="222"/>
      <c r="AF355" s="222"/>
      <c r="AG355" s="222"/>
      <c r="AH355" s="222"/>
      <c r="AI355" s="222"/>
      <c r="AJ355" s="222"/>
      <c r="AK355" s="222"/>
      <c r="AL355" s="222"/>
      <c r="AM355" s="222"/>
      <c r="AN355" s="222"/>
      <c r="AO355" s="222"/>
    </row>
    <row r="356" spans="1:41" ht="15.75" customHeight="1">
      <c r="A356" s="139" t="s">
        <v>624</v>
      </c>
      <c r="B356" s="168">
        <f>('Pivot Table for Data Exchange'!$N$223)*100</f>
        <v>54.242141180507318</v>
      </c>
      <c r="C356" s="168">
        <f>('Pivot Table for Data Exchange'!$N$226)*100</f>
        <v>0</v>
      </c>
      <c r="D356" s="169">
        <f>SUM(E356:G356)</f>
        <v>45.757858819492689</v>
      </c>
      <c r="E356" s="168">
        <f>('Pivot Table for Data Exchange'!$N$229)*100</f>
        <v>45.757858819492689</v>
      </c>
      <c r="F356" s="168">
        <f>('Pivot Table for Data Exchange'!$N$232)*100</f>
        <v>0</v>
      </c>
      <c r="G356" s="176">
        <f>('Pivot Table for Data Exchange'!$N$235)*100</f>
        <v>0</v>
      </c>
      <c r="H356" s="168">
        <f>('Pivot Table for Data Exchange'!$N$238)*100</f>
        <v>0</v>
      </c>
      <c r="I356" s="139"/>
      <c r="J356" s="207"/>
      <c r="K356" s="207"/>
      <c r="L356" s="207"/>
      <c r="M356" s="207"/>
      <c r="N356" s="207"/>
      <c r="O356" s="207"/>
      <c r="P356" s="207"/>
      <c r="Q356" s="173">
        <f t="shared" si="44"/>
        <v>100</v>
      </c>
      <c r="R356" s="173"/>
      <c r="S356" s="222"/>
      <c r="T356" s="226"/>
      <c r="U356" s="222"/>
      <c r="V356" s="222"/>
      <c r="W356" s="222"/>
      <c r="X356" s="222"/>
      <c r="Y356" s="222"/>
      <c r="Z356" s="222"/>
      <c r="AA356" s="222"/>
      <c r="AB356" s="222"/>
      <c r="AC356" s="222"/>
      <c r="AD356" s="222"/>
      <c r="AE356" s="222"/>
      <c r="AF356" s="222"/>
      <c r="AG356" s="222"/>
      <c r="AH356" s="222"/>
      <c r="AI356" s="222"/>
      <c r="AJ356" s="222"/>
      <c r="AK356" s="222"/>
      <c r="AL356" s="222"/>
      <c r="AM356" s="222"/>
      <c r="AN356" s="222"/>
      <c r="AO356" s="222"/>
    </row>
    <row r="357" spans="1:41" ht="15.75" customHeight="1">
      <c r="A357" s="139" t="s">
        <v>625</v>
      </c>
      <c r="B357" s="168">
        <f>('Pivot Table for Data Exchange'!$N$259)*100</f>
        <v>42.648512394498916</v>
      </c>
      <c r="C357" s="168">
        <f>('Pivot Table for Data Exchange'!$N$262)*100</f>
        <v>5.4529923372343863</v>
      </c>
      <c r="D357" s="169">
        <f>SUM(E357:G357)</f>
        <v>51.8984952682667</v>
      </c>
      <c r="E357" s="168">
        <f>('Pivot Table for Data Exchange'!$N$265)*100</f>
        <v>51.428187960748076</v>
      </c>
      <c r="F357" s="168">
        <f>('Pivot Table for Data Exchange'!$N$268)*100</f>
        <v>0.47030730751862571</v>
      </c>
      <c r="G357" s="176">
        <f>('Pivot Table for Data Exchange'!$N$271)*100</f>
        <v>0</v>
      </c>
      <c r="H357" s="168">
        <f>('Pivot Table for Data Exchange'!$N$274)*100</f>
        <v>0</v>
      </c>
      <c r="I357" s="139"/>
      <c r="J357" s="207"/>
      <c r="K357" s="207"/>
      <c r="L357" s="207"/>
      <c r="M357" s="207"/>
      <c r="N357" s="207"/>
      <c r="O357" s="207"/>
      <c r="P357" s="207"/>
      <c r="Q357" s="173">
        <f t="shared" si="44"/>
        <v>100</v>
      </c>
      <c r="R357" s="173"/>
      <c r="S357" s="222"/>
      <c r="U357" s="222"/>
      <c r="V357" s="222"/>
      <c r="W357" s="222"/>
      <c r="X357" s="222"/>
      <c r="Y357" s="222"/>
      <c r="Z357" s="222"/>
      <c r="AA357" s="222"/>
      <c r="AB357" s="222"/>
      <c r="AC357" s="222"/>
      <c r="AD357" s="222"/>
      <c r="AE357" s="222"/>
      <c r="AF357" s="222"/>
      <c r="AG357" s="222"/>
      <c r="AH357" s="222"/>
      <c r="AI357" s="222"/>
      <c r="AJ357" s="222"/>
      <c r="AK357" s="222"/>
      <c r="AL357" s="222"/>
      <c r="AM357" s="222"/>
      <c r="AN357" s="222"/>
      <c r="AO357" s="222"/>
    </row>
    <row r="358" spans="1:41" ht="12.75" customHeight="1">
      <c r="B358" s="168"/>
      <c r="C358" s="168"/>
      <c r="D358" s="169"/>
      <c r="E358" s="168"/>
      <c r="F358" s="168"/>
      <c r="G358" s="176"/>
      <c r="H358" s="168"/>
      <c r="I358" s="139"/>
      <c r="J358" s="207"/>
      <c r="K358" s="207"/>
      <c r="L358" s="207"/>
      <c r="M358" s="207"/>
      <c r="N358" s="207"/>
      <c r="O358" s="207"/>
      <c r="P358" s="207"/>
      <c r="Q358" s="173">
        <f t="shared" si="44"/>
        <v>0</v>
      </c>
      <c r="R358" s="173"/>
      <c r="S358" s="222"/>
      <c r="U358" s="222"/>
      <c r="V358" s="222"/>
      <c r="W358" s="222"/>
      <c r="X358" s="222"/>
      <c r="Y358" s="222"/>
      <c r="Z358" s="222"/>
      <c r="AA358" s="222"/>
      <c r="AB358" s="222"/>
      <c r="AC358" s="222"/>
      <c r="AD358" s="222"/>
      <c r="AE358" s="222"/>
      <c r="AF358" s="222"/>
      <c r="AG358" s="222"/>
      <c r="AH358" s="222"/>
      <c r="AI358" s="222"/>
      <c r="AJ358" s="222"/>
      <c r="AK358" s="222"/>
      <c r="AL358" s="222"/>
      <c r="AM358" s="222"/>
      <c r="AN358" s="222"/>
      <c r="AO358" s="222"/>
    </row>
    <row r="359" spans="1:41" ht="15.75" customHeight="1">
      <c r="A359" s="139" t="s">
        <v>672</v>
      </c>
      <c r="B359" s="168">
        <f>('Pivot Table for Data Exchange'!$N$295)*100</f>
        <v>0</v>
      </c>
      <c r="C359" s="168">
        <f>('Pivot Table for Data Exchange'!$N$298)*100</f>
        <v>0</v>
      </c>
      <c r="D359" s="169">
        <f>SUM(E359:G359)</f>
        <v>0</v>
      </c>
      <c r="E359" s="168">
        <f>('Pivot Table for Data Exchange'!$N$301)*100</f>
        <v>0</v>
      </c>
      <c r="F359" s="168">
        <f>('Pivot Table for Data Exchange'!$N$304)*100</f>
        <v>0</v>
      </c>
      <c r="G359" s="176">
        <f>('Pivot Table for Data Exchange'!$N$307)*100</f>
        <v>0</v>
      </c>
      <c r="H359" s="168">
        <f>('Pivot Table for Data Exchange'!$N$310)*100</f>
        <v>0</v>
      </c>
      <c r="I359" s="214"/>
      <c r="J359" s="207"/>
      <c r="K359" s="207"/>
      <c r="L359" s="207"/>
      <c r="M359" s="207"/>
      <c r="N359" s="207"/>
      <c r="O359" s="207"/>
      <c r="P359" s="207"/>
      <c r="Q359" s="173">
        <f t="shared" si="44"/>
        <v>0</v>
      </c>
      <c r="R359" s="173"/>
      <c r="S359" s="222"/>
      <c r="T359" s="222"/>
      <c r="U359" s="222"/>
      <c r="V359" s="222"/>
      <c r="W359" s="222"/>
      <c r="X359" s="222"/>
      <c r="Y359" s="222"/>
      <c r="Z359" s="222"/>
      <c r="AA359" s="222"/>
      <c r="AB359" s="222"/>
      <c r="AC359" s="222"/>
      <c r="AD359" s="222"/>
      <c r="AE359" s="222"/>
      <c r="AF359" s="222"/>
      <c r="AG359" s="222"/>
      <c r="AH359" s="222"/>
      <c r="AI359" s="222"/>
      <c r="AJ359" s="222"/>
      <c r="AK359" s="222"/>
      <c r="AL359" s="222"/>
      <c r="AM359" s="222"/>
      <c r="AN359" s="222"/>
      <c r="AO359" s="222"/>
    </row>
    <row r="360" spans="1:41" ht="15.75" customHeight="1">
      <c r="A360" s="139" t="s">
        <v>627</v>
      </c>
      <c r="B360" s="168">
        <f>('Pivot Table for Data Exchange'!$N$331)*100</f>
        <v>30.725313579981979</v>
      </c>
      <c r="C360" s="168">
        <f>('Pivot Table for Data Exchange'!$N$334)*100</f>
        <v>5.0564951724745786</v>
      </c>
      <c r="D360" s="169">
        <f>SUM(E360:G360)</f>
        <v>64.218191247543444</v>
      </c>
      <c r="E360" s="168">
        <f>('Pivot Table for Data Exchange'!$N$337)*100</f>
        <v>64.218191247543444</v>
      </c>
      <c r="F360" s="168">
        <f>('Pivot Table for Data Exchange'!$N$340)*100</f>
        <v>0</v>
      </c>
      <c r="G360" s="176">
        <f>('Pivot Table for Data Exchange'!$N$343)*100</f>
        <v>0</v>
      </c>
      <c r="H360" s="168">
        <f>('Pivot Table for Data Exchange'!$N$346)*100</f>
        <v>0</v>
      </c>
      <c r="I360" s="139"/>
      <c r="J360" s="207"/>
      <c r="K360" s="207"/>
      <c r="L360" s="207"/>
      <c r="M360" s="207"/>
      <c r="N360" s="207"/>
      <c r="O360" s="207"/>
      <c r="P360" s="207"/>
      <c r="Q360" s="173">
        <f t="shared" si="44"/>
        <v>100</v>
      </c>
      <c r="R360" s="173"/>
      <c r="S360" s="222"/>
      <c r="T360" s="222"/>
      <c r="U360" s="222"/>
      <c r="V360" s="222"/>
      <c r="W360" s="222"/>
      <c r="X360" s="222"/>
      <c r="Y360" s="222"/>
      <c r="Z360" s="222"/>
      <c r="AA360" s="222"/>
      <c r="AB360" s="222"/>
      <c r="AC360" s="222"/>
      <c r="AD360" s="222"/>
      <c r="AE360" s="222"/>
      <c r="AF360" s="222"/>
      <c r="AG360" s="222"/>
      <c r="AH360" s="222"/>
      <c r="AI360" s="222"/>
      <c r="AJ360" s="222"/>
      <c r="AK360" s="222"/>
      <c r="AL360" s="222"/>
      <c r="AM360" s="222"/>
      <c r="AN360" s="222"/>
      <c r="AO360" s="222"/>
    </row>
    <row r="361" spans="1:41" ht="15.75" customHeight="1">
      <c r="A361" s="139" t="s">
        <v>628</v>
      </c>
      <c r="B361" s="168">
        <f>('Pivot Table for Data Exchange'!$N$367)*100</f>
        <v>0</v>
      </c>
      <c r="C361" s="168">
        <f>('Pivot Table for Data Exchange'!$N$370)*100</f>
        <v>0</v>
      </c>
      <c r="D361" s="169">
        <f>SUM(E361:G361)</f>
        <v>0</v>
      </c>
      <c r="E361" s="168">
        <f>('Pivot Table for Data Exchange'!$N$373)*100</f>
        <v>0</v>
      </c>
      <c r="F361" s="168">
        <f>('Pivot Table for Data Exchange'!$N$376)*100</f>
        <v>0</v>
      </c>
      <c r="G361" s="175">
        <f>('Pivot Table for Data Exchange'!$N$379)*100</f>
        <v>0</v>
      </c>
      <c r="H361" s="168">
        <f>('Pivot Table for Data Exchange'!$N$382)*100</f>
        <v>0</v>
      </c>
      <c r="I361" s="139"/>
      <c r="J361" s="207"/>
      <c r="K361" s="207"/>
      <c r="L361" s="207"/>
      <c r="M361" s="207"/>
      <c r="N361" s="207"/>
      <c r="O361" s="207"/>
      <c r="P361" s="207"/>
      <c r="Q361" s="173">
        <f t="shared" si="44"/>
        <v>0</v>
      </c>
      <c r="R361" s="173"/>
      <c r="S361" s="222"/>
      <c r="T361" s="226"/>
      <c r="U361" s="222"/>
      <c r="V361" s="222"/>
      <c r="W361" s="222"/>
      <c r="X361" s="222"/>
      <c r="Y361" s="222"/>
      <c r="Z361" s="222"/>
      <c r="AA361" s="222"/>
      <c r="AB361" s="222"/>
      <c r="AC361" s="222"/>
      <c r="AD361" s="222"/>
      <c r="AE361" s="222"/>
      <c r="AF361" s="222"/>
      <c r="AG361" s="222"/>
      <c r="AH361" s="222"/>
      <c r="AI361" s="222"/>
      <c r="AJ361" s="222"/>
      <c r="AK361" s="222"/>
      <c r="AL361" s="222"/>
      <c r="AM361" s="222"/>
      <c r="AN361" s="222"/>
      <c r="AO361" s="222"/>
    </row>
    <row r="362" spans="1:41" ht="15.75" customHeight="1">
      <c r="A362" s="139" t="s">
        <v>629</v>
      </c>
      <c r="B362" s="168">
        <f>('Pivot Table for Data Exchange'!$N$403)*100</f>
        <v>31.870650555690201</v>
      </c>
      <c r="C362" s="168">
        <f>('Pivot Table for Data Exchange'!$N$406)*100</f>
        <v>9.1413634317764778</v>
      </c>
      <c r="D362" s="169">
        <f>SUM(E362:G362)</f>
        <v>58.987986012533327</v>
      </c>
      <c r="E362" s="168">
        <f>('Pivot Table for Data Exchange'!$N$409)*100</f>
        <v>56.864591628293461</v>
      </c>
      <c r="F362" s="168">
        <f>('Pivot Table for Data Exchange'!$N$412)*100</f>
        <v>0.20011771630370806</v>
      </c>
      <c r="G362" s="176">
        <f>('Pivot Table for Data Exchange'!$N$415)*100</f>
        <v>1.9232766679361561</v>
      </c>
      <c r="H362" s="168">
        <f>('Pivot Table for Data Exchange'!$N$418)*100</f>
        <v>0</v>
      </c>
      <c r="I362" s="139"/>
      <c r="J362" s="207"/>
      <c r="K362" s="207"/>
      <c r="L362" s="207"/>
      <c r="M362" s="207"/>
      <c r="N362" s="207"/>
      <c r="O362" s="207"/>
      <c r="P362" s="207"/>
      <c r="Q362" s="173">
        <f t="shared" si="44"/>
        <v>100</v>
      </c>
      <c r="R362" s="173"/>
      <c r="S362" s="222"/>
      <c r="T362" s="222"/>
      <c r="U362" s="222"/>
      <c r="V362" s="222"/>
      <c r="W362" s="222"/>
      <c r="X362" s="222"/>
      <c r="Y362" s="222"/>
      <c r="Z362" s="222"/>
      <c r="AA362" s="222"/>
      <c r="AB362" s="222"/>
      <c r="AC362" s="222"/>
      <c r="AD362" s="222"/>
      <c r="AE362" s="222"/>
      <c r="AF362" s="222"/>
      <c r="AG362" s="222"/>
      <c r="AH362" s="222"/>
      <c r="AI362" s="222"/>
      <c r="AJ362" s="222"/>
      <c r="AK362" s="222"/>
      <c r="AL362" s="222"/>
      <c r="AM362" s="222"/>
      <c r="AN362" s="222"/>
      <c r="AO362" s="222"/>
    </row>
    <row r="363" spans="1:41" ht="12" customHeight="1">
      <c r="B363" s="168"/>
      <c r="C363" s="168"/>
      <c r="D363" s="169"/>
      <c r="E363" s="168"/>
      <c r="F363" s="168"/>
      <c r="G363" s="176"/>
      <c r="H363" s="168"/>
      <c r="I363" s="139"/>
      <c r="J363" s="207"/>
      <c r="K363" s="207"/>
      <c r="L363" s="207"/>
      <c r="M363" s="207"/>
      <c r="N363" s="207"/>
      <c r="O363" s="207"/>
      <c r="P363" s="207"/>
      <c r="Q363" s="173">
        <f t="shared" si="44"/>
        <v>0</v>
      </c>
      <c r="R363" s="173"/>
      <c r="S363" s="222"/>
      <c r="T363" s="222"/>
      <c r="U363" s="222"/>
      <c r="V363" s="222"/>
      <c r="W363" s="222"/>
      <c r="X363" s="222"/>
      <c r="Y363" s="222"/>
      <c r="Z363" s="222"/>
      <c r="AA363" s="222"/>
      <c r="AB363" s="222"/>
      <c r="AC363" s="222"/>
      <c r="AD363" s="222"/>
      <c r="AE363" s="222"/>
      <c r="AF363" s="222"/>
      <c r="AG363" s="222"/>
      <c r="AH363" s="222"/>
      <c r="AI363" s="222"/>
      <c r="AJ363" s="222"/>
      <c r="AK363" s="222"/>
      <c r="AL363" s="222"/>
      <c r="AM363" s="222"/>
      <c r="AN363" s="222"/>
      <c r="AO363" s="222"/>
    </row>
    <row r="364" spans="1:41" ht="15.75" customHeight="1">
      <c r="A364" s="139" t="s">
        <v>630</v>
      </c>
      <c r="B364" s="168">
        <f>('Pivot Table for Data Exchange'!$N$439)*100</f>
        <v>27.073371482323434</v>
      </c>
      <c r="C364" s="168">
        <f>('Pivot Table for Data Exchange'!$N$442)*100</f>
        <v>32.493924903974289</v>
      </c>
      <c r="D364" s="169">
        <f>SUM(E364:G364)</f>
        <v>39.911421180528336</v>
      </c>
      <c r="E364" s="168">
        <f>('Pivot Table for Data Exchange'!$N$445)*100</f>
        <v>32.429254526926393</v>
      </c>
      <c r="F364" s="168">
        <f>('Pivot Table for Data Exchange'!$N$448)*100</f>
        <v>5.4832640903033631</v>
      </c>
      <c r="G364" s="176">
        <f>('Pivot Table for Data Exchange'!$N$451)*100</f>
        <v>1.9989025632985811</v>
      </c>
      <c r="H364" s="168">
        <f>('Pivot Table for Data Exchange'!$N$454)*100</f>
        <v>0.52128243317394374</v>
      </c>
      <c r="I364" s="139"/>
      <c r="J364" s="207"/>
      <c r="K364" s="207"/>
      <c r="L364" s="207"/>
      <c r="M364" s="207"/>
      <c r="N364" s="207"/>
      <c r="O364" s="207"/>
      <c r="P364" s="207"/>
      <c r="Q364" s="173">
        <f t="shared" si="44"/>
        <v>100</v>
      </c>
      <c r="R364" s="173"/>
      <c r="S364" s="222"/>
      <c r="T364" s="222"/>
      <c r="U364" s="222"/>
      <c r="V364" s="222"/>
      <c r="W364" s="222"/>
      <c r="X364" s="222"/>
      <c r="Y364" s="222"/>
      <c r="Z364" s="222"/>
      <c r="AA364" s="222"/>
      <c r="AB364" s="222"/>
      <c r="AC364" s="222"/>
      <c r="AD364" s="222"/>
      <c r="AE364" s="222"/>
      <c r="AF364" s="222"/>
      <c r="AG364" s="222"/>
      <c r="AH364" s="222"/>
      <c r="AI364" s="222"/>
      <c r="AJ364" s="222"/>
      <c r="AK364" s="222"/>
      <c r="AL364" s="222"/>
      <c r="AM364" s="222"/>
      <c r="AN364" s="222"/>
      <c r="AO364" s="222"/>
    </row>
    <row r="365" spans="1:41" ht="15.75" customHeight="1">
      <c r="A365" s="139" t="s">
        <v>631</v>
      </c>
      <c r="B365" s="168">
        <f>('Pivot Table for Data Exchange'!$N$475)*100</f>
        <v>14.844021608751262</v>
      </c>
      <c r="C365" s="168">
        <f>('Pivot Table for Data Exchange'!$N$478)*100</f>
        <v>6.3896169206118287</v>
      </c>
      <c r="D365" s="169">
        <f>SUM(E365:G365)</f>
        <v>78.766361470636923</v>
      </c>
      <c r="E365" s="168">
        <f>('Pivot Table for Data Exchange'!$N$481)*100</f>
        <v>77.805487883884396</v>
      </c>
      <c r="F365" s="168">
        <f>('Pivot Table for Data Exchange'!$N$484)*100</f>
        <v>0.40679975214849534</v>
      </c>
      <c r="G365" s="176">
        <f>('Pivot Table for Data Exchange'!$N$487)*100</f>
        <v>0.55407383460402126</v>
      </c>
      <c r="H365" s="168">
        <f>('Pivot Table for Data Exchange'!$N$490)*100</f>
        <v>0</v>
      </c>
      <c r="I365" s="139"/>
      <c r="J365" s="207"/>
      <c r="K365" s="207"/>
      <c r="L365" s="207"/>
      <c r="M365" s="207"/>
      <c r="N365" s="207"/>
      <c r="O365" s="207"/>
      <c r="P365" s="207"/>
      <c r="Q365" s="173">
        <f t="shared" si="44"/>
        <v>100.00000000000001</v>
      </c>
      <c r="R365" s="173"/>
      <c r="S365" s="222"/>
      <c r="T365" s="222"/>
      <c r="U365" s="222"/>
      <c r="V365" s="222"/>
      <c r="W365" s="222"/>
      <c r="X365" s="222"/>
      <c r="Y365" s="222"/>
      <c r="Z365" s="222"/>
      <c r="AA365" s="222"/>
      <c r="AB365" s="222"/>
      <c r="AC365" s="222"/>
      <c r="AD365" s="222"/>
      <c r="AE365" s="222"/>
      <c r="AF365" s="222"/>
      <c r="AG365" s="222"/>
      <c r="AH365" s="222"/>
      <c r="AI365" s="222"/>
      <c r="AJ365" s="222"/>
      <c r="AK365" s="222"/>
      <c r="AL365" s="222"/>
      <c r="AM365" s="222"/>
      <c r="AN365" s="222"/>
      <c r="AO365" s="222"/>
    </row>
    <row r="366" spans="1:41" ht="15.75" customHeight="1">
      <c r="A366" s="139" t="s">
        <v>632</v>
      </c>
      <c r="B366" s="168">
        <f>('Pivot Table for Data Exchange'!$N$511)*100</f>
        <v>23.78805586678515</v>
      </c>
      <c r="C366" s="168">
        <f>('Pivot Table for Data Exchange'!$N$514)*100</f>
        <v>19.025760151450761</v>
      </c>
      <c r="D366" s="169">
        <f>SUM(E366:G366)</f>
        <v>57.186183981764096</v>
      </c>
      <c r="E366" s="168">
        <f>('Pivot Table for Data Exchange'!$N$517)*100</f>
        <v>46.905787582583166</v>
      </c>
      <c r="F366" s="168">
        <f>('Pivot Table for Data Exchange'!$N$520)*100</f>
        <v>8.5326275934010738</v>
      </c>
      <c r="G366" s="176">
        <f>('Pivot Table for Data Exchange'!$N$523)*100</f>
        <v>1.7477688057798555</v>
      </c>
      <c r="H366" s="168">
        <f>('Pivot Table for Data Exchange'!$N$526)*100</f>
        <v>0</v>
      </c>
      <c r="I366" s="139"/>
      <c r="J366" s="207"/>
      <c r="K366" s="207"/>
      <c r="L366" s="207"/>
      <c r="M366" s="207"/>
      <c r="N366" s="207"/>
      <c r="O366" s="207"/>
      <c r="P366" s="207"/>
      <c r="Q366" s="173">
        <f t="shared" si="44"/>
        <v>100</v>
      </c>
      <c r="R366" s="173"/>
      <c r="S366" s="222"/>
      <c r="T366" s="222"/>
      <c r="U366" s="222"/>
      <c r="V366" s="222"/>
      <c r="W366" s="222"/>
      <c r="X366" s="222"/>
      <c r="Y366" s="222"/>
      <c r="Z366" s="222"/>
      <c r="AA366" s="222"/>
      <c r="AB366" s="222"/>
      <c r="AC366" s="222"/>
      <c r="AD366" s="222"/>
      <c r="AE366" s="222"/>
      <c r="AF366" s="222"/>
      <c r="AG366" s="222"/>
      <c r="AH366" s="222"/>
      <c r="AI366" s="222"/>
      <c r="AJ366" s="222"/>
      <c r="AK366" s="222"/>
      <c r="AL366" s="222"/>
      <c r="AM366" s="222"/>
      <c r="AN366" s="222"/>
      <c r="AO366" s="222"/>
    </row>
    <row r="367" spans="1:41" ht="15.75" customHeight="1">
      <c r="A367" s="145" t="s">
        <v>633</v>
      </c>
      <c r="B367" s="181">
        <f>('Pivot Table for Data Exchange'!$N$547)*100</f>
        <v>42.50865312264861</v>
      </c>
      <c r="C367" s="181">
        <f>('Pivot Table for Data Exchange'!$N$550)*100</f>
        <v>6.1494858289440675</v>
      </c>
      <c r="D367" s="182">
        <f>SUM(E367:G367)</f>
        <v>51.341861048407324</v>
      </c>
      <c r="E367" s="181">
        <f>('Pivot Table for Data Exchange'!$N$553)*100</f>
        <v>49.205919237521947</v>
      </c>
      <c r="F367" s="181">
        <f>('Pivot Table for Data Exchange'!$N$556)*100</f>
        <v>1.4301479809380486</v>
      </c>
      <c r="G367" s="183">
        <f>('Pivot Table for Data Exchange'!$N$559)*100</f>
        <v>0.70579382994732875</v>
      </c>
      <c r="H367" s="181">
        <f>('Pivot Table for Data Exchange'!$N$562)*100</f>
        <v>0</v>
      </c>
      <c r="I367" s="139"/>
      <c r="J367" s="207"/>
      <c r="K367" s="207"/>
      <c r="L367" s="207"/>
      <c r="M367" s="207"/>
      <c r="N367" s="207"/>
      <c r="O367" s="207"/>
      <c r="P367" s="207"/>
      <c r="Q367" s="173">
        <f t="shared" si="44"/>
        <v>100</v>
      </c>
      <c r="R367" s="173"/>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row>
    <row r="368" spans="1:41" s="212" customFormat="1" ht="12" customHeight="1">
      <c r="A368" s="187" t="s">
        <v>658</v>
      </c>
      <c r="B368" s="188"/>
      <c r="C368" s="188"/>
      <c r="D368" s="189"/>
      <c r="E368" s="188"/>
      <c r="F368" s="189"/>
      <c r="G368" s="189"/>
      <c r="H368" s="188"/>
      <c r="I368" s="197"/>
      <c r="J368" s="188"/>
      <c r="K368" s="188"/>
      <c r="L368" s="189"/>
      <c r="M368" s="188"/>
      <c r="N368" s="189"/>
      <c r="O368" s="189"/>
      <c r="P368" s="188"/>
      <c r="Q368" s="173">
        <f t="shared" si="44"/>
        <v>0</v>
      </c>
      <c r="R368" s="208"/>
      <c r="S368" s="225"/>
      <c r="T368" s="225"/>
      <c r="U368" s="225"/>
      <c r="V368" s="225"/>
      <c r="W368" s="225"/>
      <c r="X368" s="225"/>
      <c r="Y368" s="225"/>
      <c r="Z368" s="225"/>
      <c r="AA368" s="225"/>
      <c r="AB368" s="225"/>
      <c r="AC368" s="225"/>
      <c r="AD368" s="225"/>
      <c r="AE368" s="225"/>
      <c r="AF368" s="225"/>
      <c r="AG368" s="225"/>
      <c r="AH368" s="225"/>
      <c r="AI368" s="225"/>
      <c r="AJ368" s="225"/>
      <c r="AK368" s="225"/>
      <c r="AL368" s="225"/>
      <c r="AM368" s="225"/>
      <c r="AN368" s="225"/>
      <c r="AO368" s="225"/>
    </row>
    <row r="369" spans="1:41" s="212" customFormat="1" ht="22.5" customHeight="1">
      <c r="A369" s="492" t="s">
        <v>673</v>
      </c>
      <c r="B369" s="493"/>
      <c r="C369" s="493"/>
      <c r="D369" s="493"/>
      <c r="E369" s="493"/>
      <c r="F369" s="493"/>
      <c r="G369" s="493"/>
      <c r="H369" s="493"/>
      <c r="I369" s="197"/>
      <c r="J369" s="186"/>
      <c r="K369" s="186"/>
      <c r="L369" s="186"/>
      <c r="M369" s="186"/>
      <c r="N369" s="186"/>
      <c r="O369" s="186"/>
      <c r="P369" s="199"/>
      <c r="Q369" s="173">
        <f t="shared" si="44"/>
        <v>0</v>
      </c>
      <c r="R369" s="209"/>
    </row>
    <row r="370" spans="1:41" s="212" customFormat="1" ht="13.5" customHeight="1">
      <c r="A370" s="197"/>
      <c r="B370" s="186"/>
      <c r="C370" s="186"/>
      <c r="D370" s="186"/>
      <c r="E370" s="186"/>
      <c r="F370" s="186"/>
      <c r="G370" s="186"/>
      <c r="H370" s="186"/>
      <c r="I370" s="197"/>
      <c r="J370" s="186"/>
      <c r="K370" s="186"/>
      <c r="L370" s="186"/>
      <c r="M370" s="186"/>
      <c r="N370" s="186"/>
      <c r="O370" s="186"/>
      <c r="P370" s="186"/>
      <c r="Q370" s="173">
        <f t="shared" si="44"/>
        <v>0</v>
      </c>
      <c r="R370" s="209"/>
    </row>
    <row r="371" spans="1:41" s="212" customFormat="1">
      <c r="A371" s="186"/>
      <c r="B371" s="188"/>
      <c r="C371" s="188"/>
      <c r="D371" s="189"/>
      <c r="E371" s="188"/>
      <c r="F371" s="189"/>
      <c r="G371" s="189"/>
      <c r="H371" s="192" t="s">
        <v>923</v>
      </c>
      <c r="I371" s="213"/>
      <c r="J371" s="186"/>
      <c r="K371" s="186"/>
      <c r="L371" s="186"/>
      <c r="M371" s="186"/>
      <c r="N371" s="186"/>
      <c r="O371" s="186"/>
      <c r="P371" s="186"/>
      <c r="Q371" s="173">
        <f t="shared" si="44"/>
        <v>0</v>
      </c>
      <c r="R371" s="208"/>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row>
    <row r="372" spans="1:41" ht="18">
      <c r="A372" s="134" t="s">
        <v>679</v>
      </c>
      <c r="B372" s="135"/>
      <c r="C372" s="135"/>
      <c r="D372" s="135"/>
      <c r="E372" s="135"/>
      <c r="F372" s="135"/>
      <c r="G372" s="135"/>
      <c r="H372" s="135"/>
      <c r="Q372" s="173">
        <f t="shared" si="44"/>
        <v>0</v>
      </c>
    </row>
    <row r="373" spans="1:41" ht="13">
      <c r="A373" s="140"/>
      <c r="B373" s="136"/>
      <c r="C373" s="136"/>
      <c r="D373" s="136"/>
      <c r="E373" s="136"/>
      <c r="F373" s="136"/>
      <c r="G373" s="136"/>
      <c r="H373" s="136"/>
      <c r="Q373" s="173">
        <f t="shared" si="44"/>
        <v>0</v>
      </c>
    </row>
    <row r="374" spans="1:41" ht="15.5">
      <c r="A374" s="142" t="s">
        <v>639</v>
      </c>
      <c r="B374" s="136"/>
      <c r="C374" s="136"/>
      <c r="D374" s="136"/>
      <c r="E374" s="136"/>
      <c r="F374" s="136"/>
      <c r="G374" s="136"/>
      <c r="H374" s="136"/>
      <c r="Q374" s="173">
        <f t="shared" si="44"/>
        <v>0</v>
      </c>
    </row>
    <row r="375" spans="1:41" ht="15.5">
      <c r="A375" s="142" t="s">
        <v>893</v>
      </c>
      <c r="B375" s="136"/>
      <c r="C375" s="136"/>
      <c r="D375" s="136"/>
      <c r="E375" s="136"/>
      <c r="F375" s="136"/>
      <c r="G375" s="136"/>
      <c r="H375" s="136"/>
      <c r="Q375" s="173">
        <f t="shared" si="44"/>
        <v>0</v>
      </c>
    </row>
    <row r="376" spans="1:41">
      <c r="A376" s="145"/>
      <c r="B376" s="146"/>
      <c r="C376" s="146"/>
      <c r="D376" s="146"/>
      <c r="E376" s="146"/>
      <c r="F376" s="146"/>
      <c r="G376" s="146"/>
      <c r="H376" s="146"/>
      <c r="Q376" s="173">
        <f t="shared" si="44"/>
        <v>0</v>
      </c>
    </row>
    <row r="377" spans="1:41">
      <c r="A377" s="150"/>
      <c r="B377" s="151" t="s">
        <v>641</v>
      </c>
      <c r="C377" s="151"/>
      <c r="D377" s="151"/>
      <c r="E377" s="151"/>
      <c r="F377" s="151"/>
      <c r="G377" s="151"/>
      <c r="H377" s="152"/>
      <c r="Q377" s="173">
        <f t="shared" si="44"/>
        <v>0</v>
      </c>
    </row>
    <row r="378" spans="1:41">
      <c r="A378" s="150"/>
      <c r="B378" s="151" t="s">
        <v>642</v>
      </c>
      <c r="C378" s="151"/>
      <c r="D378" s="487" t="s">
        <v>643</v>
      </c>
      <c r="E378" s="485"/>
      <c r="F378" s="485"/>
      <c r="G378" s="485"/>
      <c r="H378" s="158" t="s">
        <v>533</v>
      </c>
      <c r="Q378" s="173">
        <f t="shared" si="44"/>
        <v>0</v>
      </c>
    </row>
    <row r="379" spans="1:41" ht="34.5">
      <c r="A379" s="150"/>
      <c r="B379" s="159" t="s">
        <v>644</v>
      </c>
      <c r="C379" s="160" t="s">
        <v>645</v>
      </c>
      <c r="D379" s="161" t="s">
        <v>646</v>
      </c>
      <c r="E379" s="162" t="s">
        <v>8</v>
      </c>
      <c r="F379" s="159" t="s">
        <v>647</v>
      </c>
      <c r="G379" s="163" t="s">
        <v>656</v>
      </c>
      <c r="H379" s="164" t="s">
        <v>649</v>
      </c>
      <c r="Q379" s="173">
        <f t="shared" si="44"/>
        <v>0</v>
      </c>
    </row>
    <row r="380" spans="1:41" ht="15.75" customHeight="1">
      <c r="A380" s="194" t="s">
        <v>618</v>
      </c>
      <c r="B380" s="221">
        <f>('Pivot Table for Data Exchange'!$R$7)*100</f>
        <v>53.207382498652358</v>
      </c>
      <c r="C380" s="168">
        <f>('Pivot Table for Data Exchange'!$R$10)*100</f>
        <v>10.968503734887184</v>
      </c>
      <c r="D380" s="169">
        <f>SUM(E380:G380)</f>
        <v>35.824113766460457</v>
      </c>
      <c r="E380" s="168">
        <f>('Pivot Table for Data Exchange'!$R$13)*100</f>
        <v>35.824113766460457</v>
      </c>
      <c r="F380" s="168">
        <f>('Pivot Table for Data Exchange'!$R$16)*100</f>
        <v>0</v>
      </c>
      <c r="G380" s="172">
        <f>('Pivot Table for Data Exchange'!$R$19)*100</f>
        <v>0</v>
      </c>
      <c r="H380" s="168">
        <f>('Pivot Table for Data Exchange'!$R$22)*100</f>
        <v>0</v>
      </c>
      <c r="I380" s="139"/>
      <c r="J380" s="207"/>
      <c r="K380" s="207"/>
      <c r="L380" s="207"/>
      <c r="M380" s="207"/>
      <c r="N380" s="207"/>
      <c r="O380" s="207"/>
      <c r="P380" s="207"/>
      <c r="Q380" s="173">
        <f t="shared" si="44"/>
        <v>100</v>
      </c>
      <c r="R380" s="173"/>
      <c r="S380" s="222"/>
      <c r="T380" s="222"/>
      <c r="U380" s="222"/>
      <c r="V380" s="222"/>
      <c r="W380" s="222"/>
      <c r="X380" s="222"/>
      <c r="Y380" s="222"/>
      <c r="Z380" s="222"/>
      <c r="AA380" s="222"/>
      <c r="AB380" s="222"/>
      <c r="AC380" s="222"/>
      <c r="AD380" s="222"/>
      <c r="AE380" s="222"/>
      <c r="AF380" s="222"/>
      <c r="AG380" s="222"/>
      <c r="AH380" s="222"/>
      <c r="AI380" s="222"/>
      <c r="AJ380" s="222"/>
      <c r="AK380" s="222"/>
      <c r="AL380" s="222"/>
      <c r="AM380" s="222"/>
      <c r="AN380" s="222"/>
      <c r="AO380" s="222"/>
    </row>
    <row r="381" spans="1:41" ht="15.75" customHeight="1">
      <c r="A381" s="139" t="s">
        <v>619</v>
      </c>
      <c r="B381" s="168">
        <f>('Pivot Table for Data Exchange'!$R$43)*100</f>
        <v>0</v>
      </c>
      <c r="C381" s="168">
        <f>('Pivot Table for Data Exchange'!$R$46)*100</f>
        <v>0</v>
      </c>
      <c r="D381" s="169">
        <f t="shared" ref="D381:D383" si="47">SUM(E381:G381)</f>
        <v>0</v>
      </c>
      <c r="E381" s="168">
        <f>('Pivot Table for Data Exchange'!$R$49)*100</f>
        <v>0</v>
      </c>
      <c r="F381" s="168">
        <f>('Pivot Table for Data Exchange'!$R$52)*100</f>
        <v>0</v>
      </c>
      <c r="G381" s="176">
        <f>('Pivot Table for Data Exchange'!$R$55)*100</f>
        <v>0</v>
      </c>
      <c r="H381" s="168">
        <f>('Pivot Table for Data Exchange'!$R$58)*100</f>
        <v>0</v>
      </c>
      <c r="I381" s="139"/>
      <c r="J381" s="207"/>
      <c r="K381" s="207"/>
      <c r="L381" s="207"/>
      <c r="M381" s="207"/>
      <c r="N381" s="207"/>
      <c r="O381" s="207"/>
      <c r="P381" s="207"/>
      <c r="Q381" s="173">
        <f t="shared" si="44"/>
        <v>0</v>
      </c>
      <c r="R381" s="173"/>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row>
    <row r="382" spans="1:41" ht="15.75" customHeight="1">
      <c r="A382" s="139" t="s">
        <v>620</v>
      </c>
      <c r="B382" s="168">
        <f>('Pivot Table for Data Exchange'!$R$79)*100</f>
        <v>0</v>
      </c>
      <c r="C382" s="168">
        <f>('Pivot Table for Data Exchange'!$R$82)*100</f>
        <v>0</v>
      </c>
      <c r="D382" s="169">
        <f t="shared" si="47"/>
        <v>0</v>
      </c>
      <c r="E382" s="168">
        <f>('Pivot Table for Data Exchange'!$R$85)*100</f>
        <v>0</v>
      </c>
      <c r="F382" s="168">
        <f>('Pivot Table for Data Exchange'!$R$88)*100</f>
        <v>0</v>
      </c>
      <c r="G382" s="176">
        <f>('Pivot Table for Data Exchange'!$R$91)*100</f>
        <v>0</v>
      </c>
      <c r="H382" s="168">
        <f>('Pivot Table for Data Exchange'!$R$94)*100</f>
        <v>0</v>
      </c>
      <c r="I382" s="139"/>
      <c r="J382" s="207"/>
      <c r="K382" s="207"/>
      <c r="L382" s="207"/>
      <c r="M382" s="207"/>
      <c r="N382" s="207"/>
      <c r="O382" s="207"/>
      <c r="P382" s="207"/>
      <c r="Q382" s="173">
        <f t="shared" si="44"/>
        <v>0</v>
      </c>
      <c r="R382" s="173"/>
      <c r="S382" s="222"/>
      <c r="T382" s="226"/>
      <c r="U382" s="222"/>
      <c r="V382" s="222"/>
      <c r="W382" s="222"/>
      <c r="X382" s="222"/>
      <c r="Y382" s="222"/>
      <c r="Z382" s="222"/>
      <c r="AA382" s="222"/>
      <c r="AB382" s="222"/>
      <c r="AC382" s="222"/>
      <c r="AD382" s="222"/>
      <c r="AE382" s="222"/>
      <c r="AF382" s="222"/>
      <c r="AG382" s="222"/>
      <c r="AH382" s="222"/>
      <c r="AI382" s="222"/>
      <c r="AJ382" s="222"/>
      <c r="AK382" s="222"/>
      <c r="AL382" s="222"/>
      <c r="AM382" s="222"/>
      <c r="AN382" s="222"/>
      <c r="AO382" s="222"/>
    </row>
    <row r="383" spans="1:41" ht="15.75" customHeight="1">
      <c r="A383" s="139" t="s">
        <v>621</v>
      </c>
      <c r="B383" s="168">
        <f>('Pivot Table for Data Exchange'!$R$115)*100</f>
        <v>0</v>
      </c>
      <c r="C383" s="168">
        <f>('Pivot Table for Data Exchange'!$R$118)*100</f>
        <v>0</v>
      </c>
      <c r="D383" s="169">
        <f t="shared" si="47"/>
        <v>0</v>
      </c>
      <c r="E383" s="168">
        <f>('Pivot Table for Data Exchange'!$R$121)*100</f>
        <v>0</v>
      </c>
      <c r="F383" s="168">
        <f>('Pivot Table for Data Exchange'!$R$124)*100</f>
        <v>0</v>
      </c>
      <c r="G383" s="176">
        <f>('Pivot Table for Data Exchange'!$R$127)*100</f>
        <v>0</v>
      </c>
      <c r="H383" s="168">
        <f>('Pivot Table for Data Exchange'!$R$130)*100</f>
        <v>0</v>
      </c>
      <c r="I383" s="139"/>
      <c r="J383" s="207"/>
      <c r="K383" s="207"/>
      <c r="L383" s="207"/>
      <c r="M383" s="207"/>
      <c r="N383" s="207"/>
      <c r="O383" s="207"/>
      <c r="P383" s="207"/>
      <c r="Q383" s="173">
        <f t="shared" si="44"/>
        <v>0</v>
      </c>
      <c r="R383" s="173"/>
      <c r="S383" s="222"/>
      <c r="U383" s="222"/>
      <c r="V383" s="222"/>
      <c r="W383" s="222"/>
      <c r="X383" s="222"/>
      <c r="Y383" s="222"/>
      <c r="Z383" s="222"/>
      <c r="AA383" s="222"/>
      <c r="AB383" s="222"/>
      <c r="AC383" s="222"/>
      <c r="AD383" s="222"/>
      <c r="AE383" s="222"/>
      <c r="AF383" s="222"/>
      <c r="AG383" s="222"/>
      <c r="AH383" s="222"/>
      <c r="AI383" s="222"/>
      <c r="AJ383" s="222"/>
      <c r="AK383" s="222"/>
      <c r="AL383" s="222"/>
      <c r="AM383" s="222"/>
      <c r="AN383" s="222"/>
      <c r="AO383" s="222"/>
    </row>
    <row r="384" spans="1:41" ht="15.75" customHeight="1">
      <c r="B384" s="168"/>
      <c r="C384" s="168"/>
      <c r="D384" s="169"/>
      <c r="E384" s="168"/>
      <c r="F384" s="168"/>
      <c r="G384" s="176"/>
      <c r="H384" s="168"/>
      <c r="I384" s="139"/>
      <c r="J384" s="207"/>
      <c r="K384" s="207"/>
      <c r="L384" s="207"/>
      <c r="M384" s="207"/>
      <c r="N384" s="207"/>
      <c r="O384" s="207"/>
      <c r="P384" s="207"/>
      <c r="Q384" s="173">
        <f t="shared" si="44"/>
        <v>0</v>
      </c>
      <c r="R384" s="173"/>
      <c r="S384" s="222"/>
      <c r="U384" s="222"/>
      <c r="V384" s="222"/>
      <c r="W384" s="222"/>
      <c r="X384" s="222"/>
      <c r="Y384" s="222"/>
      <c r="Z384" s="222"/>
      <c r="AA384" s="222"/>
      <c r="AB384" s="222"/>
      <c r="AC384" s="222"/>
      <c r="AD384" s="222"/>
      <c r="AE384" s="222"/>
      <c r="AF384" s="222"/>
      <c r="AG384" s="222"/>
      <c r="AH384" s="222"/>
      <c r="AI384" s="222"/>
      <c r="AJ384" s="222"/>
      <c r="AK384" s="222"/>
      <c r="AL384" s="222"/>
      <c r="AM384" s="222"/>
      <c r="AN384" s="222"/>
      <c r="AO384" s="222"/>
    </row>
    <row r="385" spans="1:41" ht="15.75" customHeight="1">
      <c r="A385" s="139" t="s">
        <v>622</v>
      </c>
      <c r="B385" s="168">
        <f>('Pivot Table for Data Exchange'!$R$151)*100</f>
        <v>44.266334009841188</v>
      </c>
      <c r="C385" s="168">
        <f>('Pivot Table for Data Exchange'!$R$154)*100</f>
        <v>0</v>
      </c>
      <c r="D385" s="169">
        <f t="shared" ref="D385:D386" si="48">SUM(E385:G385)</f>
        <v>55.733665990158819</v>
      </c>
      <c r="E385" s="168">
        <f>('Pivot Table for Data Exchange'!$R$157)*100</f>
        <v>54.777456519611192</v>
      </c>
      <c r="F385" s="168">
        <f>('Pivot Table for Data Exchange'!$R$160)*100</f>
        <v>0.95620947054762884</v>
      </c>
      <c r="G385" s="176">
        <f>('Pivot Table for Data Exchange'!$R$163)*100</f>
        <v>0</v>
      </c>
      <c r="H385" s="168">
        <f>('Pivot Table for Data Exchange'!$R$166)*100</f>
        <v>0</v>
      </c>
      <c r="I385" s="139"/>
      <c r="J385" s="207"/>
      <c r="K385" s="207"/>
      <c r="L385" s="207"/>
      <c r="M385" s="207"/>
      <c r="N385" s="207"/>
      <c r="O385" s="207"/>
      <c r="P385" s="207"/>
      <c r="Q385" s="173">
        <f t="shared" si="44"/>
        <v>100</v>
      </c>
      <c r="R385" s="173"/>
      <c r="S385" s="222"/>
      <c r="T385" s="222"/>
      <c r="U385" s="222"/>
      <c r="V385" s="222"/>
      <c r="W385" s="222"/>
      <c r="X385" s="222"/>
      <c r="Y385" s="222"/>
      <c r="Z385" s="222"/>
      <c r="AA385" s="222"/>
      <c r="AB385" s="222"/>
      <c r="AC385" s="222"/>
      <c r="AD385" s="222"/>
      <c r="AE385" s="222"/>
      <c r="AF385" s="222"/>
      <c r="AG385" s="222"/>
      <c r="AH385" s="222"/>
      <c r="AI385" s="222"/>
      <c r="AJ385" s="222"/>
      <c r="AK385" s="222"/>
      <c r="AL385" s="222"/>
      <c r="AM385" s="222"/>
      <c r="AN385" s="222"/>
      <c r="AO385" s="222"/>
    </row>
    <row r="386" spans="1:41" ht="15.75" customHeight="1">
      <c r="A386" s="139" t="s">
        <v>623</v>
      </c>
      <c r="B386" s="168">
        <f>('Pivot Table for Data Exchange'!$R$187)*100</f>
        <v>50.211612220605737</v>
      </c>
      <c r="C386" s="168">
        <f>('Pivot Table for Data Exchange'!$R$190)*100</f>
        <v>6.2075122338315039</v>
      </c>
      <c r="D386" s="169">
        <f t="shared" si="48"/>
        <v>43.580875545562762</v>
      </c>
      <c r="E386" s="168">
        <f>('Pivot Table for Data Exchange'!$R$193)*100</f>
        <v>43.580875545562762</v>
      </c>
      <c r="F386" s="168">
        <f>('Pivot Table for Data Exchange'!$R$196)*100</f>
        <v>0</v>
      </c>
      <c r="G386" s="176">
        <f>('Pivot Table for Data Exchange'!$R$199)*100</f>
        <v>0</v>
      </c>
      <c r="H386" s="168">
        <f>('Pivot Table for Data Exchange'!$R$202)*100</f>
        <v>0</v>
      </c>
      <c r="I386" s="139"/>
      <c r="J386" s="207"/>
      <c r="K386" s="207"/>
      <c r="L386" s="207"/>
      <c r="M386" s="207"/>
      <c r="N386" s="207"/>
      <c r="O386" s="207"/>
      <c r="P386" s="207"/>
      <c r="Q386" s="173">
        <f t="shared" si="44"/>
        <v>100</v>
      </c>
      <c r="R386" s="173"/>
      <c r="S386" s="222"/>
      <c r="T386" s="222"/>
      <c r="U386" s="222"/>
      <c r="V386" s="222"/>
      <c r="W386" s="222"/>
      <c r="X386" s="222"/>
      <c r="Y386" s="222"/>
      <c r="Z386" s="222"/>
      <c r="AA386" s="222"/>
      <c r="AB386" s="222"/>
      <c r="AC386" s="222"/>
      <c r="AD386" s="222"/>
      <c r="AE386" s="222"/>
      <c r="AF386" s="222"/>
      <c r="AG386" s="222"/>
      <c r="AH386" s="222"/>
      <c r="AI386" s="222"/>
      <c r="AJ386" s="222"/>
      <c r="AK386" s="222"/>
      <c r="AL386" s="222"/>
      <c r="AM386" s="222"/>
      <c r="AN386" s="222"/>
      <c r="AO386" s="222"/>
    </row>
    <row r="387" spans="1:41" ht="15.75" customHeight="1">
      <c r="A387" s="139" t="s">
        <v>624</v>
      </c>
      <c r="B387" s="168">
        <f>('Pivot Table for Data Exchange'!$R$223)*100</f>
        <v>71.198370513246218</v>
      </c>
      <c r="C387" s="168">
        <f>('Pivot Table for Data Exchange'!$R$226)*100</f>
        <v>0</v>
      </c>
      <c r="D387" s="169">
        <f>SUM(E387:G387)</f>
        <v>28.801629486753772</v>
      </c>
      <c r="E387" s="168">
        <f>('Pivot Table for Data Exchange'!$R$229)*100</f>
        <v>28.801629486753772</v>
      </c>
      <c r="F387" s="168">
        <f>('Pivot Table for Data Exchange'!$R$232)*100</f>
        <v>0</v>
      </c>
      <c r="G387" s="176">
        <f>('Pivot Table for Data Exchange'!$R$235)*100</f>
        <v>0</v>
      </c>
      <c r="H387" s="168">
        <f>('Pivot Table for Data Exchange'!$R$238)*100</f>
        <v>0</v>
      </c>
      <c r="I387" s="214"/>
      <c r="J387" s="207"/>
      <c r="K387" s="207"/>
      <c r="L387" s="207"/>
      <c r="M387" s="207"/>
      <c r="N387" s="207"/>
      <c r="O387" s="207"/>
      <c r="P387" s="207"/>
      <c r="Q387" s="173">
        <f t="shared" si="44"/>
        <v>99.999999999999986</v>
      </c>
      <c r="R387" s="173"/>
      <c r="S387" s="222"/>
      <c r="T387" s="226"/>
      <c r="U387" s="222"/>
      <c r="V387" s="222"/>
      <c r="W387" s="222"/>
      <c r="X387" s="222"/>
      <c r="Y387" s="222"/>
      <c r="Z387" s="222"/>
      <c r="AA387" s="222"/>
      <c r="AB387" s="222"/>
      <c r="AC387" s="222"/>
      <c r="AD387" s="222"/>
      <c r="AE387" s="222"/>
      <c r="AF387" s="222"/>
      <c r="AG387" s="222"/>
      <c r="AH387" s="222"/>
      <c r="AI387" s="222"/>
      <c r="AJ387" s="222"/>
      <c r="AK387" s="222"/>
      <c r="AL387" s="222"/>
      <c r="AM387" s="222"/>
      <c r="AN387" s="222"/>
      <c r="AO387" s="222"/>
    </row>
    <row r="388" spans="1:41" ht="15.75" customHeight="1">
      <c r="A388" s="139" t="s">
        <v>625</v>
      </c>
      <c r="B388" s="168">
        <f>('Pivot Table for Data Exchange'!$R$259)*100</f>
        <v>0</v>
      </c>
      <c r="C388" s="168">
        <f>('Pivot Table for Data Exchange'!$R$262)*100</f>
        <v>0</v>
      </c>
      <c r="D388" s="169">
        <f>SUM(E388:G388)</f>
        <v>0</v>
      </c>
      <c r="E388" s="168">
        <f>('Pivot Table for Data Exchange'!$R$265)*100</f>
        <v>0</v>
      </c>
      <c r="F388" s="168">
        <f>('Pivot Table for Data Exchange'!$R$268)*100</f>
        <v>0</v>
      </c>
      <c r="G388" s="176">
        <f>('Pivot Table for Data Exchange'!$R$271)*100</f>
        <v>0</v>
      </c>
      <c r="H388" s="168">
        <f>('Pivot Table for Data Exchange'!$R$274)*100</f>
        <v>0</v>
      </c>
      <c r="I388" s="139"/>
      <c r="J388" s="207"/>
      <c r="K388" s="207"/>
      <c r="L388" s="207"/>
      <c r="M388" s="207"/>
      <c r="N388" s="207"/>
      <c r="O388" s="207"/>
      <c r="P388" s="207"/>
      <c r="Q388" s="173">
        <f t="shared" si="44"/>
        <v>0</v>
      </c>
      <c r="R388" s="173"/>
      <c r="S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row>
    <row r="389" spans="1:41" ht="15.75" customHeight="1">
      <c r="B389" s="168"/>
      <c r="C389" s="168"/>
      <c r="D389" s="169"/>
      <c r="E389" s="168"/>
      <c r="F389" s="168"/>
      <c r="G389" s="176"/>
      <c r="H389" s="168"/>
      <c r="I389" s="139"/>
      <c r="J389" s="207"/>
      <c r="K389" s="207"/>
      <c r="L389" s="207"/>
      <c r="M389" s="207"/>
      <c r="N389" s="207"/>
      <c r="O389" s="207"/>
      <c r="P389" s="207"/>
      <c r="Q389" s="173">
        <f t="shared" si="44"/>
        <v>0</v>
      </c>
      <c r="R389" s="173"/>
      <c r="S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row>
    <row r="390" spans="1:41" ht="15.75" customHeight="1">
      <c r="A390" s="139" t="s">
        <v>626</v>
      </c>
      <c r="B390" s="168">
        <f>('Pivot Table for Data Exchange'!$R$295)*100</f>
        <v>0</v>
      </c>
      <c r="C390" s="168">
        <f>('Pivot Table for Data Exchange'!$R$298)*100</f>
        <v>0</v>
      </c>
      <c r="D390" s="169">
        <f>SUM(E390:G390)</f>
        <v>0</v>
      </c>
      <c r="E390" s="168">
        <f>('Pivot Table for Data Exchange'!$R$301)*100</f>
        <v>0</v>
      </c>
      <c r="F390" s="168">
        <f>('Pivot Table for Data Exchange'!$R$304)*100</f>
        <v>0</v>
      </c>
      <c r="G390" s="176">
        <f>('Pivot Table for Data Exchange'!$R$307)*100</f>
        <v>0</v>
      </c>
      <c r="H390" s="168">
        <f>('Pivot Table for Data Exchange'!$R$310)*100</f>
        <v>0</v>
      </c>
      <c r="I390" s="139"/>
      <c r="J390" s="207"/>
      <c r="K390" s="207"/>
      <c r="L390" s="207"/>
      <c r="M390" s="207"/>
      <c r="N390" s="207"/>
      <c r="O390" s="207"/>
      <c r="P390" s="207"/>
      <c r="Q390" s="173">
        <f t="shared" si="44"/>
        <v>0</v>
      </c>
      <c r="R390" s="173"/>
      <c r="S390" s="222"/>
      <c r="T390" s="222"/>
      <c r="U390" s="222"/>
      <c r="V390" s="222"/>
      <c r="W390" s="222"/>
      <c r="X390" s="222"/>
      <c r="Y390" s="222"/>
      <c r="Z390" s="222"/>
      <c r="AA390" s="222"/>
      <c r="AB390" s="222"/>
      <c r="AC390" s="222"/>
      <c r="AD390" s="222"/>
      <c r="AE390" s="222"/>
      <c r="AF390" s="222"/>
      <c r="AG390" s="222"/>
      <c r="AH390" s="222"/>
      <c r="AI390" s="222"/>
      <c r="AJ390" s="222"/>
      <c r="AK390" s="222"/>
      <c r="AL390" s="222"/>
      <c r="AM390" s="222"/>
      <c r="AN390" s="222"/>
      <c r="AO390" s="222"/>
    </row>
    <row r="391" spans="1:41" ht="15.75" customHeight="1">
      <c r="A391" s="139" t="s">
        <v>627</v>
      </c>
      <c r="B391" s="168">
        <f>('Pivot Table for Data Exchange'!$R$331)*100</f>
        <v>0</v>
      </c>
      <c r="C391" s="168">
        <f>('Pivot Table for Data Exchange'!$R$334)*100</f>
        <v>0</v>
      </c>
      <c r="D391" s="169">
        <f>SUM(E391:G391)</f>
        <v>0</v>
      </c>
      <c r="E391" s="168">
        <f>('Pivot Table for Data Exchange'!$R$337)*100</f>
        <v>0</v>
      </c>
      <c r="F391" s="168">
        <f>('Pivot Table for Data Exchange'!$R$340)*100</f>
        <v>0</v>
      </c>
      <c r="G391" s="176">
        <f>('Pivot Table for Data Exchange'!$R$343)*100</f>
        <v>0</v>
      </c>
      <c r="H391" s="168">
        <f>('Pivot Table for Data Exchange'!$R$346)*100</f>
        <v>0</v>
      </c>
      <c r="I391" s="139"/>
      <c r="J391" s="207"/>
      <c r="K391" s="207"/>
      <c r="L391" s="207"/>
      <c r="M391" s="207"/>
      <c r="N391" s="207"/>
      <c r="O391" s="207"/>
      <c r="P391" s="207"/>
      <c r="Q391" s="173">
        <f t="shared" si="44"/>
        <v>0</v>
      </c>
      <c r="R391" s="173"/>
      <c r="S391" s="222"/>
      <c r="T391" s="222"/>
      <c r="U391" s="222"/>
      <c r="V391" s="222"/>
      <c r="W391" s="222"/>
      <c r="X391" s="222"/>
      <c r="Y391" s="222"/>
      <c r="Z391" s="222"/>
      <c r="AA391" s="222"/>
      <c r="AB391" s="222"/>
      <c r="AC391" s="222"/>
      <c r="AD391" s="222"/>
      <c r="AE391" s="222"/>
      <c r="AF391" s="222"/>
      <c r="AG391" s="222"/>
      <c r="AH391" s="222"/>
      <c r="AI391" s="222"/>
      <c r="AJ391" s="222"/>
      <c r="AK391" s="222"/>
      <c r="AL391" s="222"/>
      <c r="AM391" s="222"/>
      <c r="AN391" s="222"/>
      <c r="AO391" s="222"/>
    </row>
    <row r="392" spans="1:41" ht="15.75" customHeight="1">
      <c r="A392" s="139" t="s">
        <v>628</v>
      </c>
      <c r="B392" s="168">
        <f>('Pivot Table for Data Exchange'!$R$367)*100</f>
        <v>0</v>
      </c>
      <c r="C392" s="168">
        <f>('Pivot Table for Data Exchange'!$R$370)*100</f>
        <v>0</v>
      </c>
      <c r="D392" s="169">
        <f>SUM(E392:G392)</f>
        <v>0</v>
      </c>
      <c r="E392" s="168">
        <f>('Pivot Table for Data Exchange'!$R$373)*100</f>
        <v>0</v>
      </c>
      <c r="F392" s="168">
        <f>('Pivot Table for Data Exchange'!$R$376)*100</f>
        <v>0</v>
      </c>
      <c r="G392" s="176">
        <f>('Pivot Table for Data Exchange'!$R$379)*100</f>
        <v>0</v>
      </c>
      <c r="H392" s="168">
        <f>('Pivot Table for Data Exchange'!$R$382)*100</f>
        <v>0</v>
      </c>
      <c r="I392" s="139"/>
      <c r="J392" s="207"/>
      <c r="K392" s="207"/>
      <c r="L392" s="207"/>
      <c r="M392" s="207"/>
      <c r="N392" s="207"/>
      <c r="O392" s="207"/>
      <c r="P392" s="207"/>
      <c r="Q392" s="173">
        <f t="shared" si="44"/>
        <v>0</v>
      </c>
      <c r="R392" s="173"/>
      <c r="S392" s="222"/>
      <c r="T392" s="226"/>
      <c r="U392" s="222"/>
      <c r="V392" s="222"/>
      <c r="W392" s="222"/>
      <c r="X392" s="222"/>
      <c r="Y392" s="222"/>
      <c r="Z392" s="222"/>
      <c r="AA392" s="222"/>
      <c r="AB392" s="222"/>
      <c r="AC392" s="222"/>
      <c r="AD392" s="222"/>
      <c r="AE392" s="222"/>
      <c r="AF392" s="222"/>
      <c r="AG392" s="222"/>
      <c r="AH392" s="222"/>
      <c r="AI392" s="222"/>
      <c r="AJ392" s="222"/>
      <c r="AK392" s="222"/>
      <c r="AL392" s="222"/>
      <c r="AM392" s="222"/>
      <c r="AN392" s="222"/>
      <c r="AO392" s="222"/>
    </row>
    <row r="393" spans="1:41" ht="15.75" customHeight="1">
      <c r="A393" s="139" t="s">
        <v>629</v>
      </c>
      <c r="B393" s="168">
        <f>('Pivot Table for Data Exchange'!$R$403)*100</f>
        <v>0</v>
      </c>
      <c r="C393" s="168">
        <f>('Pivot Table for Data Exchange'!$R$406)*100</f>
        <v>0</v>
      </c>
      <c r="D393" s="169">
        <f>SUM(E393:G393)</f>
        <v>0</v>
      </c>
      <c r="E393" s="168">
        <f>('Pivot Table for Data Exchange'!$R$409)*100</f>
        <v>0</v>
      </c>
      <c r="F393" s="168">
        <f>('Pivot Table for Data Exchange'!$R$412)*100</f>
        <v>0</v>
      </c>
      <c r="G393" s="176">
        <f>('Pivot Table for Data Exchange'!$R$415)*100</f>
        <v>0</v>
      </c>
      <c r="H393" s="168">
        <f>('Pivot Table for Data Exchange'!$R$418)*100</f>
        <v>0</v>
      </c>
      <c r="I393" s="139"/>
      <c r="J393" s="207"/>
      <c r="K393" s="207"/>
      <c r="L393" s="207"/>
      <c r="M393" s="207"/>
      <c r="N393" s="207"/>
      <c r="O393" s="207"/>
      <c r="P393" s="207"/>
      <c r="Q393" s="173">
        <f t="shared" si="44"/>
        <v>0</v>
      </c>
      <c r="R393" s="173"/>
      <c r="S393" s="222"/>
      <c r="T393" s="222"/>
      <c r="U393" s="222"/>
      <c r="V393" s="222"/>
      <c r="W393" s="222"/>
      <c r="X393" s="222"/>
      <c r="Y393" s="222"/>
      <c r="Z393" s="222"/>
      <c r="AA393" s="222"/>
      <c r="AB393" s="222"/>
      <c r="AC393" s="222"/>
      <c r="AD393" s="222"/>
      <c r="AE393" s="222"/>
      <c r="AF393" s="222"/>
      <c r="AG393" s="222"/>
      <c r="AH393" s="222"/>
      <c r="AI393" s="222"/>
      <c r="AJ393" s="222"/>
      <c r="AK393" s="222"/>
      <c r="AL393" s="222"/>
      <c r="AM393" s="222"/>
      <c r="AN393" s="222"/>
      <c r="AO393" s="222"/>
    </row>
    <row r="394" spans="1:41" ht="15.75" customHeight="1">
      <c r="B394" s="168"/>
      <c r="C394" s="168"/>
      <c r="D394" s="169"/>
      <c r="E394" s="168"/>
      <c r="F394" s="168"/>
      <c r="G394" s="176"/>
      <c r="H394" s="168"/>
      <c r="I394" s="139"/>
      <c r="J394" s="207"/>
      <c r="K394" s="207"/>
      <c r="L394" s="207"/>
      <c r="M394" s="207"/>
      <c r="N394" s="207"/>
      <c r="O394" s="207"/>
      <c r="P394" s="207"/>
      <c r="Q394" s="173">
        <f t="shared" si="44"/>
        <v>0</v>
      </c>
      <c r="R394" s="173"/>
      <c r="S394" s="222"/>
      <c r="T394" s="222"/>
      <c r="U394" s="222"/>
      <c r="V394" s="222"/>
      <c r="W394" s="222"/>
      <c r="X394" s="222"/>
      <c r="Y394" s="222"/>
      <c r="Z394" s="222"/>
      <c r="AA394" s="222"/>
      <c r="AB394" s="222"/>
      <c r="AC394" s="222"/>
      <c r="AD394" s="222"/>
      <c r="AE394" s="222"/>
      <c r="AF394" s="222"/>
      <c r="AG394" s="222"/>
      <c r="AH394" s="222"/>
      <c r="AI394" s="222"/>
      <c r="AJ394" s="222"/>
      <c r="AK394" s="222"/>
      <c r="AL394" s="222"/>
      <c r="AM394" s="222"/>
      <c r="AN394" s="222"/>
      <c r="AO394" s="222"/>
    </row>
    <row r="395" spans="1:41" ht="15.75" customHeight="1">
      <c r="A395" s="139" t="s">
        <v>630</v>
      </c>
      <c r="B395" s="168">
        <f>('Pivot Table for Data Exchange'!$R$439)*100</f>
        <v>0</v>
      </c>
      <c r="C395" s="168">
        <f>('Pivot Table for Data Exchange'!$R$442)*100</f>
        <v>0</v>
      </c>
      <c r="D395" s="169">
        <f>SUM(E395:G395)</f>
        <v>0</v>
      </c>
      <c r="E395" s="168">
        <f>('Pivot Table for Data Exchange'!$R$445)*100</f>
        <v>0</v>
      </c>
      <c r="F395" s="168">
        <f>('Pivot Table for Data Exchange'!$R$448)*100</f>
        <v>0</v>
      </c>
      <c r="G395" s="176">
        <f>('Pivot Table for Data Exchange'!$R$451)*100</f>
        <v>0</v>
      </c>
      <c r="H395" s="168">
        <f>('Pivot Table for Data Exchange'!$R$454)*100</f>
        <v>0</v>
      </c>
      <c r="I395" s="139"/>
      <c r="J395" s="207"/>
      <c r="K395" s="207"/>
      <c r="L395" s="207"/>
      <c r="M395" s="207"/>
      <c r="N395" s="207"/>
      <c r="O395" s="207"/>
      <c r="P395" s="207"/>
      <c r="Q395" s="173">
        <f t="shared" si="44"/>
        <v>0</v>
      </c>
      <c r="R395" s="173"/>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row>
    <row r="396" spans="1:41" ht="15.75" customHeight="1">
      <c r="A396" s="139" t="s">
        <v>631</v>
      </c>
      <c r="B396" s="168">
        <f>('Pivot Table for Data Exchange'!$R$475)*100</f>
        <v>0</v>
      </c>
      <c r="C396" s="168">
        <f>('Pivot Table for Data Exchange'!$R$478)*100</f>
        <v>0</v>
      </c>
      <c r="D396" s="169">
        <f>SUM(E396:G396)</f>
        <v>0</v>
      </c>
      <c r="E396" s="168">
        <f>('Pivot Table for Data Exchange'!$R$481)*100</f>
        <v>0</v>
      </c>
      <c r="F396" s="168">
        <f>('Pivot Table for Data Exchange'!$R$484)*100</f>
        <v>0</v>
      </c>
      <c r="G396" s="176">
        <f>('Pivot Table for Data Exchange'!$R$487)*100</f>
        <v>0</v>
      </c>
      <c r="H396" s="168">
        <f>('Pivot Table for Data Exchange'!$R$490)*100</f>
        <v>0</v>
      </c>
      <c r="I396" s="139"/>
      <c r="J396" s="207"/>
      <c r="K396" s="207"/>
      <c r="L396" s="207"/>
      <c r="M396" s="207"/>
      <c r="N396" s="207"/>
      <c r="O396" s="207"/>
      <c r="P396" s="207"/>
      <c r="Q396" s="173">
        <f t="shared" si="44"/>
        <v>0</v>
      </c>
      <c r="R396" s="173"/>
      <c r="S396" s="222"/>
      <c r="T396" s="222"/>
      <c r="U396" s="222"/>
      <c r="V396" s="222"/>
      <c r="W396" s="222"/>
      <c r="X396" s="222"/>
      <c r="Y396" s="222"/>
      <c r="Z396" s="222"/>
      <c r="AA396" s="222"/>
      <c r="AB396" s="222"/>
      <c r="AC396" s="222"/>
      <c r="AD396" s="222"/>
      <c r="AE396" s="222"/>
      <c r="AF396" s="222"/>
      <c r="AG396" s="222"/>
      <c r="AH396" s="222"/>
      <c r="AI396" s="222"/>
      <c r="AJ396" s="222"/>
      <c r="AK396" s="222"/>
      <c r="AL396" s="222"/>
      <c r="AM396" s="222"/>
      <c r="AN396" s="222"/>
      <c r="AO396" s="222"/>
    </row>
    <row r="397" spans="1:41" ht="15.75" customHeight="1">
      <c r="A397" s="139" t="s">
        <v>632</v>
      </c>
      <c r="B397" s="168">
        <f>('Pivot Table for Data Exchange'!$R$511)*100</f>
        <v>0</v>
      </c>
      <c r="C397" s="168">
        <f>('Pivot Table for Data Exchange'!$R$514)*100</f>
        <v>0</v>
      </c>
      <c r="D397" s="169">
        <f>SUM(E397:G397)</f>
        <v>0</v>
      </c>
      <c r="E397" s="168">
        <f>('Pivot Table for Data Exchange'!$R$517)*100</f>
        <v>0</v>
      </c>
      <c r="F397" s="168">
        <f>('Pivot Table for Data Exchange'!$R$520)*100</f>
        <v>0</v>
      </c>
      <c r="G397" s="176">
        <f>('Pivot Table for Data Exchange'!$R$523)*100</f>
        <v>0</v>
      </c>
      <c r="H397" s="168">
        <f>('Pivot Table for Data Exchange'!$R$526)*100</f>
        <v>0</v>
      </c>
      <c r="I397" s="139"/>
      <c r="J397" s="207"/>
      <c r="K397" s="207"/>
      <c r="L397" s="207"/>
      <c r="M397" s="207"/>
      <c r="N397" s="207"/>
      <c r="O397" s="207"/>
      <c r="P397" s="207"/>
      <c r="Q397" s="173">
        <f t="shared" si="44"/>
        <v>0</v>
      </c>
      <c r="R397" s="173"/>
      <c r="S397" s="222"/>
      <c r="T397" s="222"/>
      <c r="U397" s="222"/>
      <c r="V397" s="222"/>
      <c r="W397" s="222"/>
      <c r="X397" s="222"/>
      <c r="Y397" s="222"/>
      <c r="Z397" s="222"/>
      <c r="AA397" s="222"/>
      <c r="AB397" s="222"/>
      <c r="AC397" s="222"/>
      <c r="AD397" s="222"/>
      <c r="AE397" s="222"/>
      <c r="AF397" s="222"/>
      <c r="AG397" s="222"/>
      <c r="AH397" s="222"/>
      <c r="AI397" s="222"/>
      <c r="AJ397" s="222"/>
      <c r="AK397" s="222"/>
      <c r="AL397" s="222"/>
      <c r="AM397" s="222"/>
      <c r="AN397" s="222"/>
      <c r="AO397" s="222"/>
    </row>
    <row r="398" spans="1:41" ht="15.75" customHeight="1">
      <c r="A398" s="145" t="s">
        <v>633</v>
      </c>
      <c r="B398" s="181">
        <f>('Pivot Table for Data Exchange'!$R$547)*100</f>
        <v>0</v>
      </c>
      <c r="C398" s="181">
        <f>('Pivot Table for Data Exchange'!$R$550)*100</f>
        <v>0</v>
      </c>
      <c r="D398" s="182">
        <f>SUM(E398:G398)</f>
        <v>0</v>
      </c>
      <c r="E398" s="181">
        <f>('Pivot Table for Data Exchange'!$R$553)*100</f>
        <v>0</v>
      </c>
      <c r="F398" s="181">
        <f>('Pivot Table for Data Exchange'!$R$556)*100</f>
        <v>0</v>
      </c>
      <c r="G398" s="183">
        <f>('Pivot Table for Data Exchange'!$R$559)*100</f>
        <v>0</v>
      </c>
      <c r="H398" s="181">
        <f>('Pivot Table for Data Exchange'!$R$562)*100</f>
        <v>0</v>
      </c>
      <c r="I398" s="139"/>
      <c r="J398" s="207"/>
      <c r="K398" s="207"/>
      <c r="L398" s="207"/>
      <c r="M398" s="207"/>
      <c r="N398" s="207"/>
      <c r="O398" s="207"/>
      <c r="P398" s="207"/>
      <c r="Q398" s="173">
        <f t="shared" si="44"/>
        <v>0</v>
      </c>
      <c r="R398" s="173"/>
      <c r="S398" s="222"/>
      <c r="T398" s="222"/>
      <c r="U398" s="222"/>
      <c r="V398" s="222"/>
      <c r="W398" s="222"/>
      <c r="X398" s="222"/>
      <c r="Y398" s="222"/>
      <c r="Z398" s="222"/>
      <c r="AA398" s="222"/>
      <c r="AB398" s="222"/>
      <c r="AC398" s="222"/>
      <c r="AD398" s="222"/>
      <c r="AE398" s="222"/>
      <c r="AF398" s="222"/>
      <c r="AG398" s="222"/>
      <c r="AH398" s="222"/>
      <c r="AI398" s="222"/>
      <c r="AJ398" s="222"/>
      <c r="AK398" s="222"/>
      <c r="AL398" s="222"/>
      <c r="AM398" s="222"/>
      <c r="AN398" s="222"/>
      <c r="AO398" s="222"/>
    </row>
    <row r="399" spans="1:41" s="212" customFormat="1" ht="14.25" customHeight="1">
      <c r="A399" s="187" t="s">
        <v>658</v>
      </c>
      <c r="B399" s="188"/>
      <c r="C399" s="188"/>
      <c r="D399" s="189"/>
      <c r="E399" s="188"/>
      <c r="F399" s="189"/>
      <c r="G399" s="189"/>
      <c r="H399" s="188"/>
      <c r="I399" s="197"/>
      <c r="J399" s="188"/>
      <c r="K399" s="188"/>
      <c r="L399" s="189"/>
      <c r="M399" s="188"/>
      <c r="N399" s="189"/>
      <c r="O399" s="189"/>
      <c r="P399" s="188"/>
      <c r="Q399" s="173">
        <f t="shared" si="44"/>
        <v>0</v>
      </c>
      <c r="R399" s="208"/>
      <c r="S399" s="225"/>
      <c r="T399" s="225"/>
      <c r="U399" s="225"/>
      <c r="V399" s="225"/>
      <c r="W399" s="225"/>
      <c r="X399" s="225"/>
      <c r="Y399" s="225"/>
      <c r="Z399" s="225"/>
      <c r="AA399" s="225"/>
      <c r="AB399" s="225"/>
      <c r="AC399" s="225"/>
      <c r="AD399" s="225"/>
      <c r="AE399" s="225"/>
      <c r="AF399" s="225"/>
      <c r="AG399" s="225"/>
      <c r="AH399" s="225"/>
      <c r="AI399" s="225"/>
      <c r="AJ399" s="225"/>
      <c r="AK399" s="225"/>
      <c r="AL399" s="225"/>
      <c r="AM399" s="225"/>
      <c r="AN399" s="225"/>
      <c r="AO399" s="225"/>
    </row>
    <row r="400" spans="1:41" s="212" customFormat="1" ht="18" customHeight="1">
      <c r="A400" s="197"/>
      <c r="B400" s="188"/>
      <c r="C400" s="188"/>
      <c r="D400" s="189"/>
      <c r="E400" s="188"/>
      <c r="F400" s="189"/>
      <c r="G400" s="189"/>
      <c r="H400" s="188"/>
      <c r="I400" s="197"/>
      <c r="J400" s="188"/>
      <c r="K400" s="188"/>
      <c r="L400" s="189"/>
      <c r="M400" s="188"/>
      <c r="N400" s="189"/>
      <c r="O400" s="189"/>
      <c r="P400" s="188"/>
      <c r="Q400" s="173">
        <f t="shared" si="44"/>
        <v>0</v>
      </c>
      <c r="R400" s="208"/>
      <c r="S400" s="225"/>
      <c r="T400" s="225"/>
      <c r="U400" s="225"/>
      <c r="V400" s="225"/>
      <c r="W400" s="225"/>
      <c r="X400" s="225"/>
      <c r="Y400" s="225"/>
      <c r="Z400" s="225"/>
      <c r="AA400" s="225"/>
      <c r="AB400" s="225"/>
      <c r="AC400" s="225"/>
      <c r="AD400" s="225"/>
      <c r="AE400" s="225"/>
      <c r="AF400" s="225"/>
      <c r="AG400" s="225"/>
      <c r="AH400" s="225"/>
      <c r="AI400" s="225"/>
      <c r="AJ400" s="225"/>
      <c r="AK400" s="225"/>
      <c r="AL400" s="225"/>
      <c r="AM400" s="225"/>
      <c r="AN400" s="225"/>
      <c r="AO400" s="225"/>
    </row>
    <row r="401" spans="1:41" ht="15.75" customHeight="1">
      <c r="B401" s="210"/>
      <c r="C401" s="210"/>
      <c r="D401" s="210"/>
      <c r="E401" s="210"/>
      <c r="F401" s="210"/>
      <c r="G401" s="210"/>
      <c r="H401" s="192" t="s">
        <v>923</v>
      </c>
      <c r="I401" s="139"/>
      <c r="J401" s="207"/>
      <c r="K401" s="207"/>
      <c r="L401" s="207"/>
      <c r="M401" s="207"/>
      <c r="N401" s="207"/>
      <c r="O401" s="207"/>
      <c r="P401" s="207"/>
      <c r="Q401" s="173">
        <f t="shared" si="44"/>
        <v>0</v>
      </c>
      <c r="R401" s="173"/>
      <c r="S401" s="222"/>
      <c r="T401" s="222"/>
      <c r="U401" s="222"/>
      <c r="V401" s="222"/>
      <c r="W401" s="222"/>
      <c r="X401" s="222"/>
      <c r="Y401" s="222"/>
      <c r="Z401" s="222"/>
      <c r="AA401" s="222"/>
      <c r="AB401" s="222"/>
      <c r="AC401" s="222"/>
      <c r="AD401" s="222"/>
      <c r="AE401" s="222"/>
      <c r="AF401" s="222"/>
      <c r="AG401" s="222"/>
      <c r="AH401" s="222"/>
      <c r="AI401" s="222"/>
      <c r="AJ401" s="222"/>
      <c r="AK401" s="222"/>
      <c r="AL401" s="222"/>
      <c r="AM401" s="222"/>
      <c r="AN401" s="222"/>
      <c r="AO401" s="222"/>
    </row>
    <row r="402" spans="1:41" ht="18">
      <c r="A402" s="134" t="s">
        <v>680</v>
      </c>
      <c r="B402" s="135"/>
      <c r="C402" s="135"/>
      <c r="D402" s="135"/>
      <c r="E402" s="135"/>
      <c r="F402" s="135"/>
      <c r="G402" s="135"/>
      <c r="H402" s="135"/>
      <c r="Q402" s="173">
        <f t="shared" si="44"/>
        <v>0</v>
      </c>
    </row>
    <row r="403" spans="1:41" ht="13">
      <c r="A403" s="140"/>
      <c r="B403" s="136"/>
      <c r="C403" s="136"/>
      <c r="D403" s="136"/>
      <c r="E403" s="136"/>
      <c r="F403" s="136"/>
      <c r="G403" s="136"/>
      <c r="H403" s="136"/>
      <c r="Q403" s="173">
        <f t="shared" si="44"/>
        <v>0</v>
      </c>
    </row>
    <row r="404" spans="1:41" ht="15.5">
      <c r="A404" s="142" t="s">
        <v>639</v>
      </c>
      <c r="B404" s="136"/>
      <c r="C404" s="136"/>
      <c r="D404" s="136"/>
      <c r="E404" s="136"/>
      <c r="F404" s="136"/>
      <c r="G404" s="136"/>
      <c r="H404" s="136"/>
      <c r="Q404" s="173">
        <f t="shared" si="44"/>
        <v>0</v>
      </c>
    </row>
    <row r="405" spans="1:41" ht="15.5">
      <c r="A405" s="142" t="s">
        <v>894</v>
      </c>
      <c r="B405" s="136"/>
      <c r="C405" s="136"/>
      <c r="D405" s="136"/>
      <c r="E405" s="136"/>
      <c r="F405" s="136"/>
      <c r="G405" s="136"/>
      <c r="H405" s="136"/>
      <c r="Q405" s="173">
        <f t="shared" si="44"/>
        <v>0</v>
      </c>
    </row>
    <row r="406" spans="1:41">
      <c r="A406" s="145"/>
      <c r="B406" s="146"/>
      <c r="C406" s="146"/>
      <c r="D406" s="146"/>
      <c r="E406" s="146"/>
      <c r="F406" s="146"/>
      <c r="G406" s="146"/>
      <c r="H406" s="146"/>
      <c r="Q406" s="173">
        <f t="shared" si="44"/>
        <v>0</v>
      </c>
    </row>
    <row r="407" spans="1:41">
      <c r="A407" s="150"/>
      <c r="B407" s="151" t="s">
        <v>641</v>
      </c>
      <c r="C407" s="151"/>
      <c r="D407" s="151"/>
      <c r="E407" s="151"/>
      <c r="F407" s="151"/>
      <c r="G407" s="151"/>
      <c r="H407" s="152"/>
      <c r="Q407" s="173">
        <f t="shared" si="44"/>
        <v>0</v>
      </c>
    </row>
    <row r="408" spans="1:41">
      <c r="A408" s="150"/>
      <c r="B408" s="151" t="s">
        <v>642</v>
      </c>
      <c r="C408" s="151"/>
      <c r="D408" s="487" t="s">
        <v>643</v>
      </c>
      <c r="E408" s="485"/>
      <c r="F408" s="485"/>
      <c r="G408" s="485"/>
      <c r="H408" s="158" t="s">
        <v>533</v>
      </c>
      <c r="Q408" s="173">
        <f t="shared" si="44"/>
        <v>0</v>
      </c>
    </row>
    <row r="409" spans="1:41" ht="34.5">
      <c r="A409" s="150"/>
      <c r="B409" s="159" t="s">
        <v>644</v>
      </c>
      <c r="C409" s="160" t="s">
        <v>645</v>
      </c>
      <c r="D409" s="161" t="s">
        <v>646</v>
      </c>
      <c r="E409" s="162" t="s">
        <v>8</v>
      </c>
      <c r="F409" s="159" t="s">
        <v>647</v>
      </c>
      <c r="G409" s="163" t="s">
        <v>656</v>
      </c>
      <c r="H409" s="164" t="s">
        <v>649</v>
      </c>
      <c r="Q409" s="173">
        <f t="shared" si="44"/>
        <v>0</v>
      </c>
    </row>
    <row r="410" spans="1:41" ht="15.75" customHeight="1">
      <c r="A410" s="194" t="s">
        <v>618</v>
      </c>
      <c r="B410" s="221">
        <f>('Pivot Table for Data Exchange'!$P$7)*100</f>
        <v>42.763157894736842</v>
      </c>
      <c r="C410" s="168">
        <f>('Pivot Table for Data Exchange'!$P$10)*100</f>
        <v>2.8181461115475255</v>
      </c>
      <c r="D410" s="169">
        <f>SUM(E410:G410)</f>
        <v>54.418695993715637</v>
      </c>
      <c r="E410" s="168">
        <f>('Pivot Table for Data Exchange'!$P$13)*100</f>
        <v>54.418695993715637</v>
      </c>
      <c r="F410" s="168">
        <f>('Pivot Table for Data Exchange'!$P$16)*100</f>
        <v>0</v>
      </c>
      <c r="G410" s="172">
        <f>('Pivot Table for Data Exchange'!$P$19)*100</f>
        <v>0</v>
      </c>
      <c r="H410" s="168">
        <f>('Pivot Table for Data Exchange'!$P$22)*100</f>
        <v>0</v>
      </c>
      <c r="I410" s="139"/>
      <c r="J410" s="207"/>
      <c r="K410" s="207"/>
      <c r="L410" s="207"/>
      <c r="M410" s="207"/>
      <c r="N410" s="207"/>
      <c r="O410" s="207"/>
      <c r="P410" s="207"/>
      <c r="Q410" s="173">
        <f t="shared" si="44"/>
        <v>100</v>
      </c>
      <c r="R410" s="173"/>
      <c r="S410" s="222"/>
      <c r="T410" s="222"/>
      <c r="U410" s="222"/>
      <c r="V410" s="222"/>
      <c r="W410" s="222"/>
      <c r="X410" s="222"/>
      <c r="Y410" s="222"/>
      <c r="Z410" s="222"/>
      <c r="AA410" s="222"/>
      <c r="AB410" s="222"/>
      <c r="AC410" s="222"/>
      <c r="AD410" s="222"/>
      <c r="AE410" s="222"/>
      <c r="AF410" s="222"/>
      <c r="AG410" s="222"/>
      <c r="AH410" s="222"/>
      <c r="AI410" s="222"/>
      <c r="AJ410" s="222"/>
      <c r="AK410" s="222"/>
      <c r="AL410" s="222"/>
      <c r="AM410" s="222"/>
      <c r="AN410" s="222"/>
      <c r="AO410" s="222"/>
    </row>
    <row r="411" spans="1:41" ht="15.75" customHeight="1">
      <c r="A411" s="139" t="s">
        <v>619</v>
      </c>
      <c r="B411" s="168">
        <f>('Pivot Table for Data Exchange'!$P$43)*100</f>
        <v>0</v>
      </c>
      <c r="C411" s="168">
        <f>('Pivot Table for Data Exchange'!$P$46)*100</f>
        <v>0</v>
      </c>
      <c r="D411" s="169">
        <f t="shared" ref="D411:D413" si="49">SUM(E411:G411)</f>
        <v>0</v>
      </c>
      <c r="E411" s="168">
        <f>('Pivot Table for Data Exchange'!$P$49)*100</f>
        <v>0</v>
      </c>
      <c r="F411" s="168">
        <f>('Pivot Table for Data Exchange'!$P$52)*100</f>
        <v>0</v>
      </c>
      <c r="G411" s="176">
        <f>('Pivot Table for Data Exchange'!$P$55)*100</f>
        <v>0</v>
      </c>
      <c r="H411" s="168">
        <f>('Pivot Table for Data Exchange'!$P$58)*100</f>
        <v>0</v>
      </c>
      <c r="I411" s="139"/>
      <c r="J411" s="207"/>
      <c r="K411" s="207"/>
      <c r="L411" s="207"/>
      <c r="M411" s="207"/>
      <c r="N411" s="207"/>
      <c r="O411" s="207"/>
      <c r="P411" s="207"/>
      <c r="Q411" s="173">
        <f t="shared" ref="Q411:Q458" si="50">SUM(B411,C411,D411,H411)</f>
        <v>0</v>
      </c>
      <c r="R411" s="173"/>
      <c r="S411" s="222"/>
      <c r="T411" s="222"/>
      <c r="U411" s="222"/>
      <c r="V411" s="222"/>
      <c r="W411" s="222"/>
      <c r="X411" s="222"/>
      <c r="Y411" s="222"/>
      <c r="Z411" s="222"/>
      <c r="AA411" s="222"/>
      <c r="AB411" s="222"/>
      <c r="AC411" s="222"/>
      <c r="AD411" s="222"/>
      <c r="AE411" s="222"/>
      <c r="AF411" s="222"/>
      <c r="AG411" s="222"/>
      <c r="AH411" s="222"/>
      <c r="AI411" s="222"/>
      <c r="AJ411" s="222"/>
      <c r="AK411" s="222"/>
      <c r="AL411" s="222"/>
      <c r="AM411" s="222"/>
      <c r="AN411" s="222"/>
      <c r="AO411" s="222"/>
    </row>
    <row r="412" spans="1:41" ht="15.75" customHeight="1">
      <c r="A412" s="139" t="s">
        <v>620</v>
      </c>
      <c r="B412" s="168">
        <f>('Pivot Table for Data Exchange'!$P$79)*100</f>
        <v>0</v>
      </c>
      <c r="C412" s="168">
        <f>('Pivot Table for Data Exchange'!$P$82)*100</f>
        <v>0</v>
      </c>
      <c r="D412" s="169">
        <f t="shared" si="49"/>
        <v>0</v>
      </c>
      <c r="E412" s="168">
        <f>('Pivot Table for Data Exchange'!$P$85)*100</f>
        <v>0</v>
      </c>
      <c r="F412" s="168">
        <f>('Pivot Table for Data Exchange'!$P$88)*100</f>
        <v>0</v>
      </c>
      <c r="G412" s="176">
        <f>('Pivot Table for Data Exchange'!$P$91)*100</f>
        <v>0</v>
      </c>
      <c r="H412" s="168">
        <f>('Pivot Table for Data Exchange'!$P$94)*100</f>
        <v>0</v>
      </c>
      <c r="I412" s="139"/>
      <c r="J412" s="207"/>
      <c r="K412" s="207"/>
      <c r="L412" s="207"/>
      <c r="M412" s="207"/>
      <c r="N412" s="207"/>
      <c r="O412" s="207"/>
      <c r="P412" s="207"/>
      <c r="Q412" s="173">
        <f t="shared" si="50"/>
        <v>0</v>
      </c>
      <c r="R412" s="173"/>
      <c r="S412" s="222"/>
      <c r="T412" s="226"/>
      <c r="U412" s="222"/>
      <c r="V412" s="222"/>
      <c r="W412" s="222"/>
      <c r="X412" s="222"/>
      <c r="Y412" s="222"/>
      <c r="Z412" s="222"/>
      <c r="AA412" s="222"/>
      <c r="AB412" s="222"/>
      <c r="AC412" s="222"/>
      <c r="AD412" s="222"/>
      <c r="AE412" s="222"/>
      <c r="AF412" s="222"/>
      <c r="AG412" s="222"/>
      <c r="AH412" s="222"/>
      <c r="AI412" s="222"/>
      <c r="AJ412" s="222"/>
      <c r="AK412" s="222"/>
      <c r="AL412" s="222"/>
      <c r="AM412" s="222"/>
      <c r="AN412" s="222"/>
      <c r="AO412" s="222"/>
    </row>
    <row r="413" spans="1:41" ht="15.75" customHeight="1">
      <c r="A413" s="139" t="s">
        <v>621</v>
      </c>
      <c r="B413" s="168">
        <f>('Pivot Table for Data Exchange'!$P$115)*100</f>
        <v>0</v>
      </c>
      <c r="C413" s="168">
        <f>('Pivot Table for Data Exchange'!$P$118)*100</f>
        <v>0</v>
      </c>
      <c r="D413" s="169">
        <f t="shared" si="49"/>
        <v>0</v>
      </c>
      <c r="E413" s="168">
        <f>('Pivot Table for Data Exchange'!$P$121)*100</f>
        <v>0</v>
      </c>
      <c r="F413" s="168">
        <f>('Pivot Table for Data Exchange'!$P$124)*100</f>
        <v>0</v>
      </c>
      <c r="G413" s="176">
        <f>('Pivot Table for Data Exchange'!$P$127)*100</f>
        <v>0</v>
      </c>
      <c r="H413" s="168">
        <f>('Pivot Table for Data Exchange'!$P$130)*100</f>
        <v>0</v>
      </c>
      <c r="I413" s="139"/>
      <c r="J413" s="207"/>
      <c r="K413" s="207"/>
      <c r="L413" s="207"/>
      <c r="M413" s="207"/>
      <c r="N413" s="207"/>
      <c r="O413" s="207"/>
      <c r="P413" s="207"/>
      <c r="Q413" s="173">
        <f t="shared" si="50"/>
        <v>0</v>
      </c>
      <c r="R413" s="173"/>
      <c r="S413" s="222"/>
      <c r="U413" s="222"/>
      <c r="V413" s="222"/>
      <c r="W413" s="222"/>
      <c r="X413" s="222"/>
      <c r="Y413" s="222"/>
      <c r="Z413" s="222"/>
      <c r="AA413" s="222"/>
      <c r="AB413" s="222"/>
      <c r="AC413" s="222"/>
      <c r="AD413" s="222"/>
      <c r="AE413" s="222"/>
      <c r="AF413" s="222"/>
      <c r="AG413" s="222"/>
      <c r="AH413" s="222"/>
      <c r="AI413" s="222"/>
      <c r="AJ413" s="222"/>
      <c r="AK413" s="222"/>
      <c r="AL413" s="222"/>
      <c r="AM413" s="222"/>
      <c r="AN413" s="222"/>
      <c r="AO413" s="222"/>
    </row>
    <row r="414" spans="1:41" ht="15.75" customHeight="1">
      <c r="B414" s="168"/>
      <c r="C414" s="168"/>
      <c r="D414" s="169"/>
      <c r="E414" s="168"/>
      <c r="F414" s="168"/>
      <c r="G414" s="176"/>
      <c r="H414" s="168"/>
      <c r="I414" s="139"/>
      <c r="J414" s="207"/>
      <c r="K414" s="207"/>
      <c r="L414" s="207"/>
      <c r="M414" s="207"/>
      <c r="N414" s="207"/>
      <c r="O414" s="207"/>
      <c r="P414" s="207"/>
      <c r="Q414" s="173">
        <f t="shared" si="50"/>
        <v>0</v>
      </c>
      <c r="R414" s="173"/>
      <c r="S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row>
    <row r="415" spans="1:41" ht="15.75" customHeight="1">
      <c r="A415" s="139" t="s">
        <v>622</v>
      </c>
      <c r="B415" s="168">
        <f>('Pivot Table for Data Exchange'!$P$151)*100</f>
        <v>44.266334009841188</v>
      </c>
      <c r="C415" s="168">
        <f>('Pivot Table for Data Exchange'!$P$154)*100</f>
        <v>0</v>
      </c>
      <c r="D415" s="169">
        <f t="shared" ref="D415:D416" si="51">SUM(E415:G415)</f>
        <v>55.733665990158819</v>
      </c>
      <c r="E415" s="168">
        <f>('Pivot Table for Data Exchange'!$P$157)*100</f>
        <v>54.777456519611192</v>
      </c>
      <c r="F415" s="168">
        <f>('Pivot Table for Data Exchange'!$P$160)*100</f>
        <v>0.95620947054762884</v>
      </c>
      <c r="G415" s="176">
        <f>('Pivot Table for Data Exchange'!$P$163)*100</f>
        <v>0</v>
      </c>
      <c r="H415" s="168">
        <f>('Pivot Table for Data Exchange'!$P$166)*100</f>
        <v>0</v>
      </c>
      <c r="I415" s="139"/>
      <c r="J415" s="207"/>
      <c r="K415" s="207"/>
      <c r="L415" s="207"/>
      <c r="M415" s="207"/>
      <c r="N415" s="207"/>
      <c r="O415" s="207"/>
      <c r="P415" s="207"/>
      <c r="Q415" s="173">
        <f t="shared" si="50"/>
        <v>100</v>
      </c>
      <c r="R415" s="173"/>
      <c r="S415" s="222"/>
      <c r="T415" s="222"/>
      <c r="U415" s="222"/>
      <c r="V415" s="222"/>
      <c r="W415" s="222"/>
      <c r="X415" s="222"/>
      <c r="Y415" s="222"/>
      <c r="Z415" s="222"/>
      <c r="AA415" s="222"/>
      <c r="AB415" s="222"/>
      <c r="AC415" s="222"/>
      <c r="AD415" s="222"/>
      <c r="AE415" s="222"/>
      <c r="AF415" s="222"/>
      <c r="AG415" s="222"/>
      <c r="AH415" s="222"/>
      <c r="AI415" s="222"/>
      <c r="AJ415" s="222"/>
      <c r="AK415" s="222"/>
      <c r="AL415" s="222"/>
      <c r="AM415" s="222"/>
      <c r="AN415" s="222"/>
      <c r="AO415" s="222"/>
    </row>
    <row r="416" spans="1:41" ht="15.75" customHeight="1">
      <c r="A416" s="139" t="s">
        <v>623</v>
      </c>
      <c r="B416" s="168">
        <f>('Pivot Table for Data Exchange'!$P$187)*100</f>
        <v>50.211612220605737</v>
      </c>
      <c r="C416" s="168">
        <f>('Pivot Table for Data Exchange'!$P$190)*100</f>
        <v>6.2075122338315039</v>
      </c>
      <c r="D416" s="169">
        <f t="shared" si="51"/>
        <v>43.580875545562762</v>
      </c>
      <c r="E416" s="168">
        <f>('Pivot Table for Data Exchange'!$P$193)*100</f>
        <v>43.580875545562762</v>
      </c>
      <c r="F416" s="168">
        <f>('Pivot Table for Data Exchange'!$P$196)*100</f>
        <v>0</v>
      </c>
      <c r="G416" s="176">
        <f>('Pivot Table for Data Exchange'!$P$199)*100</f>
        <v>0</v>
      </c>
      <c r="H416" s="168">
        <f>('Pivot Table for Data Exchange'!$P$202)*100</f>
        <v>0</v>
      </c>
      <c r="I416" s="139"/>
      <c r="J416" s="207"/>
      <c r="K416" s="207"/>
      <c r="L416" s="207"/>
      <c r="M416" s="207"/>
      <c r="N416" s="207"/>
      <c r="O416" s="207"/>
      <c r="P416" s="207"/>
      <c r="Q416" s="173">
        <f t="shared" si="50"/>
        <v>100</v>
      </c>
      <c r="R416" s="173"/>
      <c r="S416" s="222"/>
      <c r="T416" s="222"/>
      <c r="U416" s="222"/>
      <c r="V416" s="222"/>
      <c r="W416" s="222"/>
      <c r="X416" s="222"/>
      <c r="Y416" s="222"/>
      <c r="Z416" s="222"/>
      <c r="AA416" s="222"/>
      <c r="AB416" s="222"/>
      <c r="AC416" s="222"/>
      <c r="AD416" s="222"/>
      <c r="AE416" s="222"/>
      <c r="AF416" s="222"/>
      <c r="AG416" s="222"/>
      <c r="AH416" s="222"/>
      <c r="AI416" s="222"/>
      <c r="AJ416" s="222"/>
      <c r="AK416" s="222"/>
      <c r="AL416" s="222"/>
      <c r="AM416" s="222"/>
      <c r="AN416" s="222"/>
      <c r="AO416" s="222"/>
    </row>
    <row r="417" spans="1:41" ht="15.75" customHeight="1">
      <c r="A417" s="139" t="s">
        <v>624</v>
      </c>
      <c r="B417" s="168">
        <f>('Pivot Table for Data Exchange'!$P$223)*100</f>
        <v>69.127552540240004</v>
      </c>
      <c r="C417" s="168">
        <f>('Pivot Table for Data Exchange'!$P$226)*100</f>
        <v>0</v>
      </c>
      <c r="D417" s="169">
        <f>SUM(E417:G417)</f>
        <v>30.872447459760004</v>
      </c>
      <c r="E417" s="168">
        <f>('Pivot Table for Data Exchange'!$P$229)*100</f>
        <v>30.872447459760004</v>
      </c>
      <c r="F417" s="168">
        <f>('Pivot Table for Data Exchange'!$P$232)*100</f>
        <v>0</v>
      </c>
      <c r="G417" s="176">
        <f>('Pivot Table for Data Exchange'!$P$235)*100</f>
        <v>0</v>
      </c>
      <c r="H417" s="168">
        <f>('Pivot Table for Data Exchange'!$P$238)*100</f>
        <v>0</v>
      </c>
      <c r="I417" s="214"/>
      <c r="J417" s="207"/>
      <c r="K417" s="207"/>
      <c r="L417" s="207"/>
      <c r="M417" s="207"/>
      <c r="N417" s="207"/>
      <c r="O417" s="207"/>
      <c r="P417" s="207"/>
      <c r="Q417" s="173">
        <f t="shared" si="50"/>
        <v>100</v>
      </c>
      <c r="R417" s="173"/>
      <c r="S417" s="222"/>
      <c r="T417" s="226"/>
      <c r="U417" s="222"/>
      <c r="V417" s="222"/>
      <c r="W417" s="222"/>
      <c r="X417" s="222"/>
      <c r="Y417" s="222"/>
      <c r="Z417" s="222"/>
      <c r="AA417" s="222"/>
      <c r="AB417" s="222"/>
      <c r="AC417" s="222"/>
      <c r="AD417" s="222"/>
      <c r="AE417" s="222"/>
      <c r="AF417" s="222"/>
      <c r="AG417" s="222"/>
      <c r="AH417" s="222"/>
      <c r="AI417" s="222"/>
      <c r="AJ417" s="222"/>
      <c r="AK417" s="222"/>
      <c r="AL417" s="222"/>
      <c r="AM417" s="222"/>
      <c r="AN417" s="222"/>
      <c r="AO417" s="222"/>
    </row>
    <row r="418" spans="1:41" ht="15.75" customHeight="1">
      <c r="A418" s="139" t="s">
        <v>625</v>
      </c>
      <c r="B418" s="168">
        <f>('Pivot Table for Data Exchange'!$P$259)*100</f>
        <v>0</v>
      </c>
      <c r="C418" s="168">
        <f>('Pivot Table for Data Exchange'!$P$262)*100</f>
        <v>0</v>
      </c>
      <c r="D418" s="169">
        <f>SUM(E418:G418)</f>
        <v>0</v>
      </c>
      <c r="E418" s="168">
        <f>('Pivot Table for Data Exchange'!$P$265)*100</f>
        <v>0</v>
      </c>
      <c r="F418" s="168">
        <f>('Pivot Table for Data Exchange'!$P$268)*100</f>
        <v>0</v>
      </c>
      <c r="G418" s="176">
        <f>('Pivot Table for Data Exchange'!$P$271)*100</f>
        <v>0</v>
      </c>
      <c r="H418" s="168">
        <f>('Pivot Table for Data Exchange'!$P$274)*100</f>
        <v>0</v>
      </c>
      <c r="I418" s="139"/>
      <c r="J418" s="207"/>
      <c r="K418" s="207"/>
      <c r="L418" s="207"/>
      <c r="M418" s="207"/>
      <c r="N418" s="207"/>
      <c r="O418" s="207"/>
      <c r="P418" s="207"/>
      <c r="Q418" s="173">
        <f t="shared" si="50"/>
        <v>0</v>
      </c>
      <c r="R418" s="173"/>
      <c r="S418" s="222"/>
      <c r="U418" s="222"/>
      <c r="V418" s="222"/>
      <c r="W418" s="222"/>
      <c r="X418" s="222"/>
      <c r="Y418" s="222"/>
      <c r="Z418" s="222"/>
      <c r="AA418" s="222"/>
      <c r="AB418" s="222"/>
      <c r="AC418" s="222"/>
      <c r="AD418" s="222"/>
      <c r="AE418" s="222"/>
      <c r="AF418" s="222"/>
      <c r="AG418" s="222"/>
      <c r="AH418" s="222"/>
      <c r="AI418" s="222"/>
      <c r="AJ418" s="222"/>
      <c r="AK418" s="222"/>
      <c r="AL418" s="222"/>
      <c r="AM418" s="222"/>
      <c r="AN418" s="222"/>
      <c r="AO418" s="222"/>
    </row>
    <row r="419" spans="1:41" ht="15.75" customHeight="1">
      <c r="B419" s="168"/>
      <c r="C419" s="168"/>
      <c r="D419" s="169"/>
      <c r="E419" s="168"/>
      <c r="F419" s="168"/>
      <c r="G419" s="176"/>
      <c r="H419" s="168"/>
      <c r="I419" s="139"/>
      <c r="J419" s="207"/>
      <c r="K419" s="207"/>
      <c r="L419" s="207"/>
      <c r="M419" s="207"/>
      <c r="N419" s="207"/>
      <c r="O419" s="207"/>
      <c r="P419" s="207"/>
      <c r="Q419" s="173">
        <f t="shared" si="50"/>
        <v>0</v>
      </c>
      <c r="R419" s="173"/>
      <c r="S419" s="222"/>
      <c r="U419" s="222"/>
      <c r="V419" s="222"/>
      <c r="W419" s="222"/>
      <c r="X419" s="222"/>
      <c r="Y419" s="222"/>
      <c r="Z419" s="222"/>
      <c r="AA419" s="222"/>
      <c r="AB419" s="222"/>
      <c r="AC419" s="222"/>
      <c r="AD419" s="222"/>
      <c r="AE419" s="222"/>
      <c r="AF419" s="222"/>
      <c r="AG419" s="222"/>
      <c r="AH419" s="222"/>
      <c r="AI419" s="222"/>
      <c r="AJ419" s="222"/>
      <c r="AK419" s="222"/>
      <c r="AL419" s="222"/>
      <c r="AM419" s="222"/>
      <c r="AN419" s="222"/>
      <c r="AO419" s="222"/>
    </row>
    <row r="420" spans="1:41" ht="15.75" customHeight="1">
      <c r="A420" s="139" t="s">
        <v>626</v>
      </c>
      <c r="B420" s="168">
        <f>('Pivot Table for Data Exchange'!$P$295)*100</f>
        <v>0</v>
      </c>
      <c r="C420" s="168">
        <f>('Pivot Table for Data Exchange'!$P$298)*100</f>
        <v>0</v>
      </c>
      <c r="D420" s="169">
        <f>SUM(E420:G420)</f>
        <v>0</v>
      </c>
      <c r="E420" s="168">
        <f>('Pivot Table for Data Exchange'!$P$301)*100</f>
        <v>0</v>
      </c>
      <c r="F420" s="168">
        <f>('Pivot Table for Data Exchange'!$P$304)*100</f>
        <v>0</v>
      </c>
      <c r="G420" s="176">
        <f>('Pivot Table for Data Exchange'!$P$307)*100</f>
        <v>0</v>
      </c>
      <c r="H420" s="168">
        <f>('Pivot Table for Data Exchange'!$P$310)*100</f>
        <v>0</v>
      </c>
      <c r="I420" s="139"/>
      <c r="J420" s="207"/>
      <c r="K420" s="207"/>
      <c r="L420" s="207"/>
      <c r="M420" s="207"/>
      <c r="N420" s="207"/>
      <c r="O420" s="207"/>
      <c r="P420" s="207"/>
      <c r="Q420" s="173">
        <f t="shared" si="50"/>
        <v>0</v>
      </c>
      <c r="R420" s="173"/>
      <c r="S420" s="222"/>
      <c r="T420" s="222"/>
      <c r="U420" s="222"/>
      <c r="V420" s="222"/>
      <c r="W420" s="222"/>
      <c r="X420" s="222"/>
      <c r="Y420" s="222"/>
      <c r="Z420" s="222"/>
      <c r="AA420" s="222"/>
      <c r="AB420" s="222"/>
      <c r="AC420" s="222"/>
      <c r="AD420" s="222"/>
      <c r="AE420" s="222"/>
      <c r="AF420" s="222"/>
      <c r="AG420" s="222"/>
      <c r="AH420" s="222"/>
      <c r="AI420" s="222"/>
      <c r="AJ420" s="222"/>
      <c r="AK420" s="222"/>
      <c r="AL420" s="222"/>
      <c r="AM420" s="222"/>
      <c r="AN420" s="222"/>
      <c r="AO420" s="222"/>
    </row>
    <row r="421" spans="1:41" ht="15.75" customHeight="1">
      <c r="A421" s="139" t="s">
        <v>627</v>
      </c>
      <c r="B421" s="168">
        <f>('Pivot Table for Data Exchange'!$P$331)*100</f>
        <v>0</v>
      </c>
      <c r="C421" s="168">
        <f>('Pivot Table for Data Exchange'!$P$334)*100</f>
        <v>0</v>
      </c>
      <c r="D421" s="169">
        <f>SUM(E421:G421)</f>
        <v>0</v>
      </c>
      <c r="E421" s="168">
        <f>('Pivot Table for Data Exchange'!$P$337)*100</f>
        <v>0</v>
      </c>
      <c r="F421" s="168">
        <f>('Pivot Table for Data Exchange'!$P$340)*100</f>
        <v>0</v>
      </c>
      <c r="G421" s="176">
        <f>('Pivot Table for Data Exchange'!$P$343)*100</f>
        <v>0</v>
      </c>
      <c r="H421" s="168">
        <f>('Pivot Table for Data Exchange'!$P$346)*100</f>
        <v>0</v>
      </c>
      <c r="I421" s="139"/>
      <c r="J421" s="207"/>
      <c r="K421" s="207"/>
      <c r="L421" s="207"/>
      <c r="M421" s="207"/>
      <c r="N421" s="207"/>
      <c r="O421" s="207"/>
      <c r="P421" s="207"/>
      <c r="Q421" s="173">
        <f t="shared" si="50"/>
        <v>0</v>
      </c>
      <c r="R421" s="173"/>
      <c r="S421" s="222"/>
      <c r="T421" s="222"/>
      <c r="U421" s="222"/>
      <c r="V421" s="222"/>
      <c r="W421" s="222"/>
      <c r="X421" s="222"/>
      <c r="Y421" s="222"/>
      <c r="Z421" s="222"/>
      <c r="AA421" s="222"/>
      <c r="AB421" s="222"/>
      <c r="AC421" s="222"/>
      <c r="AD421" s="222"/>
      <c r="AE421" s="222"/>
      <c r="AF421" s="222"/>
      <c r="AG421" s="222"/>
      <c r="AH421" s="222"/>
      <c r="AI421" s="222"/>
      <c r="AJ421" s="222"/>
      <c r="AK421" s="222"/>
      <c r="AL421" s="222"/>
      <c r="AM421" s="222"/>
      <c r="AN421" s="222"/>
      <c r="AO421" s="222"/>
    </row>
    <row r="422" spans="1:41" ht="15.75" customHeight="1">
      <c r="A422" s="139" t="s">
        <v>628</v>
      </c>
      <c r="B422" s="168">
        <f>('Pivot Table for Data Exchange'!$P$367)*100</f>
        <v>0</v>
      </c>
      <c r="C422" s="168">
        <f>('Pivot Table for Data Exchange'!$P$370)*100</f>
        <v>0</v>
      </c>
      <c r="D422" s="169">
        <f>SUM(E422:G422)</f>
        <v>0</v>
      </c>
      <c r="E422" s="168">
        <f>('Pivot Table for Data Exchange'!$P$373)*100</f>
        <v>0</v>
      </c>
      <c r="F422" s="168">
        <f>('Pivot Table for Data Exchange'!$P$376)*100</f>
        <v>0</v>
      </c>
      <c r="G422" s="176">
        <f>('Pivot Table for Data Exchange'!$P$379)*100</f>
        <v>0</v>
      </c>
      <c r="H422" s="168">
        <f>('Pivot Table for Data Exchange'!$P$382)*100</f>
        <v>0</v>
      </c>
      <c r="I422" s="139"/>
      <c r="J422" s="207"/>
      <c r="K422" s="207"/>
      <c r="L422" s="207"/>
      <c r="M422" s="207"/>
      <c r="N422" s="207"/>
      <c r="O422" s="207"/>
      <c r="P422" s="207"/>
      <c r="Q422" s="173">
        <f t="shared" si="50"/>
        <v>0</v>
      </c>
      <c r="R422" s="173"/>
      <c r="S422" s="222"/>
      <c r="T422" s="226"/>
      <c r="U422" s="222"/>
      <c r="V422" s="222"/>
      <c r="W422" s="222"/>
      <c r="X422" s="222"/>
      <c r="Y422" s="222"/>
      <c r="Z422" s="222"/>
      <c r="AA422" s="222"/>
      <c r="AB422" s="222"/>
      <c r="AC422" s="222"/>
      <c r="AD422" s="222"/>
      <c r="AE422" s="222"/>
      <c r="AF422" s="222"/>
      <c r="AG422" s="222"/>
      <c r="AH422" s="222"/>
      <c r="AI422" s="222"/>
      <c r="AJ422" s="222"/>
      <c r="AK422" s="222"/>
      <c r="AL422" s="222"/>
      <c r="AM422" s="222"/>
      <c r="AN422" s="222"/>
      <c r="AO422" s="222"/>
    </row>
    <row r="423" spans="1:41" ht="15.75" customHeight="1">
      <c r="A423" s="139" t="s">
        <v>629</v>
      </c>
      <c r="B423" s="168">
        <f>('Pivot Table for Data Exchange'!$P$403)*100</f>
        <v>0</v>
      </c>
      <c r="C423" s="168">
        <f>('Pivot Table for Data Exchange'!$P$406)*100</f>
        <v>0</v>
      </c>
      <c r="D423" s="169">
        <f>SUM(E423:G423)</f>
        <v>0</v>
      </c>
      <c r="E423" s="168">
        <f>('Pivot Table for Data Exchange'!$P$409)*100</f>
        <v>0</v>
      </c>
      <c r="F423" s="168">
        <f>('Pivot Table for Data Exchange'!$P$412)*100</f>
        <v>0</v>
      </c>
      <c r="G423" s="176">
        <f>('Pivot Table for Data Exchange'!$P$415)*100</f>
        <v>0</v>
      </c>
      <c r="H423" s="168">
        <f>('Pivot Table for Data Exchange'!$P$418)*100</f>
        <v>0</v>
      </c>
      <c r="I423" s="139"/>
      <c r="J423" s="207"/>
      <c r="K423" s="207"/>
      <c r="L423" s="207"/>
      <c r="M423" s="207"/>
      <c r="N423" s="207"/>
      <c r="O423" s="207"/>
      <c r="P423" s="207"/>
      <c r="Q423" s="173">
        <f t="shared" si="50"/>
        <v>0</v>
      </c>
      <c r="R423" s="173"/>
      <c r="S423" s="222"/>
      <c r="T423" s="222"/>
      <c r="U423" s="222"/>
      <c r="V423" s="222"/>
      <c r="W423" s="222"/>
      <c r="X423" s="222"/>
      <c r="Y423" s="222"/>
      <c r="Z423" s="222"/>
      <c r="AA423" s="222"/>
      <c r="AB423" s="222"/>
      <c r="AC423" s="222"/>
      <c r="AD423" s="222"/>
      <c r="AE423" s="222"/>
      <c r="AF423" s="222"/>
      <c r="AG423" s="222"/>
      <c r="AH423" s="222"/>
      <c r="AI423" s="222"/>
      <c r="AJ423" s="222"/>
      <c r="AK423" s="222"/>
      <c r="AL423" s="222"/>
      <c r="AM423" s="222"/>
      <c r="AN423" s="222"/>
      <c r="AO423" s="222"/>
    </row>
    <row r="424" spans="1:41" ht="15.75" customHeight="1">
      <c r="B424" s="168"/>
      <c r="C424" s="168"/>
      <c r="D424" s="169"/>
      <c r="E424" s="168"/>
      <c r="F424" s="168"/>
      <c r="G424" s="176"/>
      <c r="H424" s="168"/>
      <c r="I424" s="139"/>
      <c r="J424" s="207"/>
      <c r="K424" s="207"/>
      <c r="L424" s="207"/>
      <c r="M424" s="207"/>
      <c r="N424" s="207"/>
      <c r="O424" s="207"/>
      <c r="P424" s="207"/>
      <c r="Q424" s="173">
        <f t="shared" si="50"/>
        <v>0</v>
      </c>
      <c r="R424" s="173"/>
      <c r="S424" s="222"/>
      <c r="T424" s="222"/>
      <c r="U424" s="222"/>
      <c r="V424" s="222"/>
      <c r="W424" s="222"/>
      <c r="X424" s="222"/>
      <c r="Y424" s="222"/>
      <c r="Z424" s="222"/>
      <c r="AA424" s="222"/>
      <c r="AB424" s="222"/>
      <c r="AC424" s="222"/>
      <c r="AD424" s="222"/>
      <c r="AE424" s="222"/>
      <c r="AF424" s="222"/>
      <c r="AG424" s="222"/>
      <c r="AH424" s="222"/>
      <c r="AI424" s="222"/>
      <c r="AJ424" s="222"/>
      <c r="AK424" s="222"/>
      <c r="AL424" s="222"/>
      <c r="AM424" s="222"/>
      <c r="AN424" s="222"/>
      <c r="AO424" s="222"/>
    </row>
    <row r="425" spans="1:41" ht="15.75" customHeight="1">
      <c r="A425" s="139" t="s">
        <v>630</v>
      </c>
      <c r="B425" s="168">
        <f>('Pivot Table for Data Exchange'!$P$439)*100</f>
        <v>0</v>
      </c>
      <c r="C425" s="168">
        <f>('Pivot Table for Data Exchange'!$P$442)*100</f>
        <v>0</v>
      </c>
      <c r="D425" s="169">
        <f>SUM(E425:G425)</f>
        <v>0</v>
      </c>
      <c r="E425" s="168">
        <f>('Pivot Table for Data Exchange'!$P$445)*100</f>
        <v>0</v>
      </c>
      <c r="F425" s="168">
        <f>('Pivot Table for Data Exchange'!$P$448)*100</f>
        <v>0</v>
      </c>
      <c r="G425" s="176">
        <f>('Pivot Table for Data Exchange'!$P$451)*100</f>
        <v>0</v>
      </c>
      <c r="H425" s="168">
        <f>('Pivot Table for Data Exchange'!$P$454)*100</f>
        <v>0</v>
      </c>
      <c r="I425" s="139"/>
      <c r="J425" s="207"/>
      <c r="K425" s="207"/>
      <c r="L425" s="207"/>
      <c r="M425" s="207"/>
      <c r="N425" s="207"/>
      <c r="O425" s="207"/>
      <c r="P425" s="207"/>
      <c r="Q425" s="173">
        <f t="shared" si="50"/>
        <v>0</v>
      </c>
      <c r="R425" s="173"/>
      <c r="S425" s="222"/>
      <c r="T425" s="222"/>
      <c r="U425" s="222"/>
      <c r="V425" s="222"/>
      <c r="W425" s="222"/>
      <c r="X425" s="222"/>
      <c r="Y425" s="222"/>
      <c r="Z425" s="222"/>
      <c r="AA425" s="222"/>
      <c r="AB425" s="222"/>
      <c r="AC425" s="222"/>
      <c r="AD425" s="222"/>
      <c r="AE425" s="222"/>
      <c r="AF425" s="222"/>
      <c r="AG425" s="222"/>
      <c r="AH425" s="222"/>
      <c r="AI425" s="222"/>
      <c r="AJ425" s="222"/>
      <c r="AK425" s="222"/>
      <c r="AL425" s="222"/>
      <c r="AM425" s="222"/>
      <c r="AN425" s="222"/>
      <c r="AO425" s="222"/>
    </row>
    <row r="426" spans="1:41" ht="15.75" customHeight="1">
      <c r="A426" s="139" t="s">
        <v>631</v>
      </c>
      <c r="B426" s="168">
        <f>('Pivot Table for Data Exchange'!$P$475)*100</f>
        <v>0</v>
      </c>
      <c r="C426" s="168">
        <f>('Pivot Table for Data Exchange'!$P$478)*100</f>
        <v>0</v>
      </c>
      <c r="D426" s="169">
        <f>SUM(E426:G426)</f>
        <v>0</v>
      </c>
      <c r="E426" s="168">
        <f>('Pivot Table for Data Exchange'!$P$481)*100</f>
        <v>0</v>
      </c>
      <c r="F426" s="168">
        <f>('Pivot Table for Data Exchange'!$P$484)*100</f>
        <v>0</v>
      </c>
      <c r="G426" s="176">
        <f>('Pivot Table for Data Exchange'!$P$487)*100</f>
        <v>0</v>
      </c>
      <c r="H426" s="168">
        <f>('Pivot Table for Data Exchange'!$P$490)*100</f>
        <v>0</v>
      </c>
      <c r="I426" s="139"/>
      <c r="J426" s="207"/>
      <c r="K426" s="207"/>
      <c r="L426" s="207"/>
      <c r="M426" s="207"/>
      <c r="N426" s="207"/>
      <c r="O426" s="207"/>
      <c r="P426" s="207"/>
      <c r="Q426" s="173">
        <f t="shared" si="50"/>
        <v>0</v>
      </c>
      <c r="R426" s="173"/>
      <c r="S426" s="222"/>
      <c r="T426" s="222"/>
      <c r="U426" s="222"/>
      <c r="V426" s="222"/>
      <c r="W426" s="222"/>
      <c r="X426" s="222"/>
      <c r="Y426" s="222"/>
      <c r="Z426" s="222"/>
      <c r="AA426" s="222"/>
      <c r="AB426" s="222"/>
      <c r="AC426" s="222"/>
      <c r="AD426" s="222"/>
      <c r="AE426" s="222"/>
      <c r="AF426" s="222"/>
      <c r="AG426" s="222"/>
      <c r="AH426" s="222"/>
      <c r="AI426" s="222"/>
      <c r="AJ426" s="222"/>
      <c r="AK426" s="222"/>
      <c r="AL426" s="222"/>
      <c r="AM426" s="222"/>
      <c r="AN426" s="222"/>
      <c r="AO426" s="222"/>
    </row>
    <row r="427" spans="1:41" ht="15.75" customHeight="1">
      <c r="A427" s="139" t="s">
        <v>632</v>
      </c>
      <c r="B427" s="168">
        <f>('Pivot Table for Data Exchange'!$P$511)*100</f>
        <v>0</v>
      </c>
      <c r="C427" s="168">
        <f>('Pivot Table for Data Exchange'!$P$514)*100</f>
        <v>0</v>
      </c>
      <c r="D427" s="169">
        <f>SUM(E427:G427)</f>
        <v>0</v>
      </c>
      <c r="E427" s="168">
        <f>('Pivot Table for Data Exchange'!$P$517)*100</f>
        <v>0</v>
      </c>
      <c r="F427" s="168">
        <f>('Pivot Table for Data Exchange'!$P$520)*100</f>
        <v>0</v>
      </c>
      <c r="G427" s="176">
        <f>('Pivot Table for Data Exchange'!$P$523)*100</f>
        <v>0</v>
      </c>
      <c r="H427" s="168">
        <f>('Pivot Table for Data Exchange'!$P$526)*100</f>
        <v>0</v>
      </c>
      <c r="I427" s="139"/>
      <c r="J427" s="207"/>
      <c r="K427" s="207"/>
      <c r="L427" s="207"/>
      <c r="M427" s="207"/>
      <c r="N427" s="207"/>
      <c r="O427" s="207"/>
      <c r="P427" s="207"/>
      <c r="Q427" s="173">
        <f t="shared" si="50"/>
        <v>0</v>
      </c>
      <c r="R427" s="173"/>
      <c r="S427" s="222"/>
      <c r="T427" s="222"/>
      <c r="U427" s="222"/>
      <c r="V427" s="222"/>
      <c r="W427" s="222"/>
      <c r="X427" s="222"/>
      <c r="Y427" s="222"/>
      <c r="Z427" s="222"/>
      <c r="AA427" s="222"/>
      <c r="AB427" s="222"/>
      <c r="AC427" s="222"/>
      <c r="AD427" s="222"/>
      <c r="AE427" s="222"/>
      <c r="AF427" s="222"/>
      <c r="AG427" s="222"/>
      <c r="AH427" s="222"/>
      <c r="AI427" s="222"/>
      <c r="AJ427" s="222"/>
      <c r="AK427" s="222"/>
      <c r="AL427" s="222"/>
      <c r="AM427" s="222"/>
      <c r="AN427" s="222"/>
      <c r="AO427" s="222"/>
    </row>
    <row r="428" spans="1:41" ht="15.75" customHeight="1">
      <c r="A428" s="145" t="s">
        <v>633</v>
      </c>
      <c r="B428" s="181">
        <f>('Pivot Table for Data Exchange'!$P$547)*100</f>
        <v>0</v>
      </c>
      <c r="C428" s="181">
        <f>('Pivot Table for Data Exchange'!$P$550)*100</f>
        <v>0</v>
      </c>
      <c r="D428" s="182">
        <f>SUM(E428:G428)</f>
        <v>0</v>
      </c>
      <c r="E428" s="181">
        <f>('Pivot Table for Data Exchange'!$P$553)*100</f>
        <v>0</v>
      </c>
      <c r="F428" s="181">
        <f>('Pivot Table for Data Exchange'!$P$556)*100</f>
        <v>0</v>
      </c>
      <c r="G428" s="183">
        <f>('Pivot Table for Data Exchange'!$P$559)*100</f>
        <v>0</v>
      </c>
      <c r="H428" s="181">
        <f>('Pivot Table for Data Exchange'!$P$562)*100</f>
        <v>0</v>
      </c>
      <c r="I428" s="139"/>
      <c r="J428" s="207"/>
      <c r="K428" s="207"/>
      <c r="L428" s="207"/>
      <c r="M428" s="207"/>
      <c r="N428" s="207"/>
      <c r="O428" s="207"/>
      <c r="P428" s="207"/>
      <c r="Q428" s="173">
        <f t="shared" si="50"/>
        <v>0</v>
      </c>
      <c r="R428" s="173"/>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row>
    <row r="429" spans="1:41" s="212" customFormat="1" ht="13.5" customHeight="1">
      <c r="A429" s="187" t="s">
        <v>658</v>
      </c>
      <c r="B429" s="188"/>
      <c r="C429" s="188"/>
      <c r="D429" s="189"/>
      <c r="E429" s="188"/>
      <c r="F429" s="189"/>
      <c r="G429" s="189"/>
      <c r="H429" s="188"/>
      <c r="I429" s="197"/>
      <c r="J429" s="188"/>
      <c r="K429" s="188"/>
      <c r="L429" s="189"/>
      <c r="M429" s="188"/>
      <c r="N429" s="189"/>
      <c r="O429" s="189"/>
      <c r="P429" s="188"/>
      <c r="Q429" s="173">
        <f t="shared" si="50"/>
        <v>0</v>
      </c>
      <c r="R429" s="208"/>
      <c r="S429" s="225"/>
      <c r="T429" s="225"/>
      <c r="U429" s="225"/>
      <c r="V429" s="225"/>
      <c r="W429" s="225"/>
      <c r="X429" s="225"/>
      <c r="Y429" s="225"/>
      <c r="Z429" s="225"/>
      <c r="AA429" s="225"/>
      <c r="AB429" s="225"/>
      <c r="AC429" s="225"/>
      <c r="AD429" s="225"/>
      <c r="AE429" s="225"/>
      <c r="AF429" s="225"/>
      <c r="AG429" s="225"/>
      <c r="AH429" s="225"/>
      <c r="AI429" s="225"/>
      <c r="AJ429" s="225"/>
      <c r="AK429" s="225"/>
      <c r="AL429" s="225"/>
      <c r="AM429" s="225"/>
      <c r="AN429" s="225"/>
      <c r="AO429" s="225"/>
    </row>
    <row r="430" spans="1:41" s="212" customFormat="1" ht="13.5" customHeight="1">
      <c r="A430" s="197"/>
      <c r="B430" s="198"/>
      <c r="C430" s="186"/>
      <c r="D430" s="186"/>
      <c r="E430" s="186"/>
      <c r="F430" s="186"/>
      <c r="G430" s="186"/>
      <c r="H430" s="186"/>
      <c r="I430" s="197"/>
      <c r="J430" s="186"/>
      <c r="K430" s="186"/>
      <c r="L430" s="186"/>
      <c r="M430" s="186"/>
      <c r="N430" s="186"/>
      <c r="O430" s="186"/>
      <c r="P430" s="199"/>
      <c r="Q430" s="173">
        <f t="shared" si="50"/>
        <v>0</v>
      </c>
      <c r="R430" s="209"/>
    </row>
    <row r="431" spans="1:41" s="212" customFormat="1" ht="13.5" customHeight="1">
      <c r="A431" s="197"/>
      <c r="B431" s="186"/>
      <c r="C431" s="186"/>
      <c r="D431" s="186"/>
      <c r="E431" s="186"/>
      <c r="F431" s="186"/>
      <c r="G431" s="186"/>
      <c r="H431" s="192" t="s">
        <v>923</v>
      </c>
      <c r="I431" s="197"/>
      <c r="J431" s="186"/>
      <c r="K431" s="186"/>
      <c r="L431" s="186"/>
      <c r="M431" s="186"/>
      <c r="N431" s="186"/>
      <c r="O431" s="186"/>
      <c r="P431" s="186"/>
      <c r="Q431" s="173">
        <f t="shared" si="50"/>
        <v>0</v>
      </c>
      <c r="R431" s="209"/>
    </row>
    <row r="432" spans="1:41" ht="18">
      <c r="A432" s="134" t="s">
        <v>681</v>
      </c>
      <c r="B432" s="135"/>
      <c r="C432" s="135"/>
      <c r="D432" s="135"/>
      <c r="E432" s="135"/>
      <c r="F432" s="135"/>
      <c r="G432" s="135"/>
      <c r="H432" s="135"/>
      <c r="Q432" s="173">
        <f t="shared" si="50"/>
        <v>0</v>
      </c>
    </row>
    <row r="433" spans="1:41" ht="13">
      <c r="A433" s="140"/>
      <c r="B433" s="136"/>
      <c r="C433" s="136"/>
      <c r="D433" s="136"/>
      <c r="E433" s="136"/>
      <c r="F433" s="136"/>
      <c r="G433" s="136"/>
      <c r="H433" s="136"/>
      <c r="Q433" s="173">
        <f t="shared" si="50"/>
        <v>0</v>
      </c>
    </row>
    <row r="434" spans="1:41" ht="15.5">
      <c r="A434" s="142" t="s">
        <v>639</v>
      </c>
      <c r="B434" s="136"/>
      <c r="C434" s="136"/>
      <c r="D434" s="136"/>
      <c r="E434" s="136"/>
      <c r="F434" s="136"/>
      <c r="G434" s="136"/>
      <c r="H434" s="136"/>
      <c r="Q434" s="173">
        <f t="shared" si="50"/>
        <v>0</v>
      </c>
    </row>
    <row r="435" spans="1:41" ht="15.5">
      <c r="A435" s="142" t="s">
        <v>895</v>
      </c>
      <c r="B435" s="136"/>
      <c r="C435" s="136"/>
      <c r="D435" s="136"/>
      <c r="E435" s="136"/>
      <c r="F435" s="136"/>
      <c r="G435" s="136"/>
      <c r="H435" s="136"/>
      <c r="Q435" s="173">
        <f t="shared" si="50"/>
        <v>0</v>
      </c>
    </row>
    <row r="436" spans="1:41">
      <c r="A436" s="145"/>
      <c r="B436" s="146"/>
      <c r="C436" s="146"/>
      <c r="D436" s="146"/>
      <c r="E436" s="146"/>
      <c r="F436" s="146"/>
      <c r="G436" s="146"/>
      <c r="H436" s="146"/>
      <c r="Q436" s="173">
        <f t="shared" si="50"/>
        <v>0</v>
      </c>
    </row>
    <row r="437" spans="1:41">
      <c r="A437" s="150"/>
      <c r="B437" s="151" t="s">
        <v>641</v>
      </c>
      <c r="C437" s="151"/>
      <c r="D437" s="151"/>
      <c r="E437" s="151"/>
      <c r="F437" s="151"/>
      <c r="G437" s="151"/>
      <c r="H437" s="152"/>
      <c r="Q437" s="173">
        <f t="shared" si="50"/>
        <v>0</v>
      </c>
    </row>
    <row r="438" spans="1:41">
      <c r="A438" s="150"/>
      <c r="B438" s="151" t="s">
        <v>642</v>
      </c>
      <c r="C438" s="151"/>
      <c r="D438" s="487" t="s">
        <v>643</v>
      </c>
      <c r="E438" s="485"/>
      <c r="F438" s="485"/>
      <c r="G438" s="485"/>
      <c r="H438" s="158" t="s">
        <v>533</v>
      </c>
      <c r="Q438" s="173">
        <f t="shared" si="50"/>
        <v>0</v>
      </c>
    </row>
    <row r="439" spans="1:41" ht="34.5">
      <c r="A439" s="150"/>
      <c r="B439" s="159" t="s">
        <v>644</v>
      </c>
      <c r="C439" s="160" t="s">
        <v>645</v>
      </c>
      <c r="D439" s="161" t="s">
        <v>646</v>
      </c>
      <c r="E439" s="162" t="s">
        <v>8</v>
      </c>
      <c r="F439" s="159" t="s">
        <v>647</v>
      </c>
      <c r="G439" s="163" t="s">
        <v>656</v>
      </c>
      <c r="H439" s="164" t="s">
        <v>649</v>
      </c>
      <c r="Q439" s="173">
        <f t="shared" si="50"/>
        <v>0</v>
      </c>
    </row>
    <row r="440" spans="1:41" ht="15.75" customHeight="1">
      <c r="A440" s="194" t="s">
        <v>618</v>
      </c>
      <c r="B440" s="221">
        <f>('Pivot Table for Data Exchange'!$Q$7)*100</f>
        <v>64.651137769648713</v>
      </c>
      <c r="C440" s="168">
        <f>('Pivot Table for Data Exchange'!$Q$10)*100</f>
        <v>19.898864920114047</v>
      </c>
      <c r="D440" s="169">
        <f>SUM(E440:G440)</f>
        <v>15.449997310237237</v>
      </c>
      <c r="E440" s="168">
        <f>('Pivot Table for Data Exchange'!$Q$13)*100</f>
        <v>15.449997310237237</v>
      </c>
      <c r="F440" s="168">
        <f>('Pivot Table for Data Exchange'!$Q$16)*100</f>
        <v>0</v>
      </c>
      <c r="G440" s="172">
        <f>('Pivot Table for Data Exchange'!$Q$19)*100</f>
        <v>0</v>
      </c>
      <c r="H440" s="168">
        <f>('Pivot Table for Data Exchange'!$Q$22)*100</f>
        <v>0</v>
      </c>
      <c r="I440" s="139"/>
      <c r="J440" s="207"/>
      <c r="K440" s="207"/>
      <c r="L440" s="207"/>
      <c r="M440" s="207"/>
      <c r="N440" s="207"/>
      <c r="O440" s="207"/>
      <c r="P440" s="207"/>
      <c r="Q440" s="173">
        <f t="shared" si="50"/>
        <v>100</v>
      </c>
      <c r="R440" s="173"/>
      <c r="S440" s="222"/>
      <c r="T440" s="222"/>
      <c r="U440" s="222"/>
      <c r="V440" s="222"/>
      <c r="W440" s="222"/>
      <c r="X440" s="222"/>
      <c r="Y440" s="222"/>
      <c r="Z440" s="222"/>
      <c r="AA440" s="222"/>
      <c r="AB440" s="222"/>
      <c r="AC440" s="222"/>
      <c r="AD440" s="222"/>
      <c r="AE440" s="222"/>
      <c r="AF440" s="222"/>
      <c r="AG440" s="222"/>
      <c r="AH440" s="222"/>
      <c r="AI440" s="222"/>
      <c r="AJ440" s="222"/>
      <c r="AK440" s="222"/>
      <c r="AL440" s="222"/>
      <c r="AM440" s="222"/>
      <c r="AN440" s="222"/>
      <c r="AO440" s="222"/>
    </row>
    <row r="441" spans="1:41" ht="15.75" customHeight="1">
      <c r="A441" s="139" t="s">
        <v>619</v>
      </c>
      <c r="B441" s="168">
        <f>('Pivot Table for Data Exchange'!$Q$43)*100</f>
        <v>0</v>
      </c>
      <c r="C441" s="168">
        <f>('Pivot Table for Data Exchange'!$Q$46)*100</f>
        <v>0</v>
      </c>
      <c r="D441" s="169">
        <f t="shared" ref="D441:D443" si="52">SUM(E441:G441)</f>
        <v>0</v>
      </c>
      <c r="E441" s="168">
        <f>('Pivot Table for Data Exchange'!$Q$49)*100</f>
        <v>0</v>
      </c>
      <c r="F441" s="168">
        <f>('Pivot Table for Data Exchange'!$Q$52)*100</f>
        <v>0</v>
      </c>
      <c r="G441" s="176">
        <f>('Pivot Table for Data Exchange'!$Q$55)*100</f>
        <v>0</v>
      </c>
      <c r="H441" s="168">
        <f>('Pivot Table for Data Exchange'!$Q$58)*100</f>
        <v>0</v>
      </c>
      <c r="I441" s="139"/>
      <c r="J441" s="207"/>
      <c r="K441" s="207"/>
      <c r="L441" s="207"/>
      <c r="M441" s="207"/>
      <c r="N441" s="207"/>
      <c r="O441" s="207"/>
      <c r="P441" s="207"/>
      <c r="Q441" s="173">
        <f t="shared" si="50"/>
        <v>0</v>
      </c>
      <c r="R441" s="173"/>
      <c r="S441" s="222"/>
      <c r="T441" s="222"/>
      <c r="U441" s="222"/>
      <c r="V441" s="222"/>
      <c r="W441" s="222"/>
      <c r="X441" s="222"/>
      <c r="Y441" s="222"/>
      <c r="Z441" s="222"/>
      <c r="AA441" s="222"/>
      <c r="AB441" s="222"/>
      <c r="AC441" s="222"/>
      <c r="AD441" s="222"/>
      <c r="AE441" s="222"/>
      <c r="AF441" s="222"/>
      <c r="AG441" s="222"/>
      <c r="AH441" s="222"/>
      <c r="AI441" s="222"/>
      <c r="AJ441" s="222"/>
      <c r="AK441" s="222"/>
      <c r="AL441" s="222"/>
      <c r="AM441" s="222"/>
      <c r="AN441" s="222"/>
      <c r="AO441" s="222"/>
    </row>
    <row r="442" spans="1:41" ht="15.75" customHeight="1">
      <c r="A442" s="139" t="s">
        <v>620</v>
      </c>
      <c r="B442" s="168">
        <f>('Pivot Table for Data Exchange'!$Q$79)*100</f>
        <v>0</v>
      </c>
      <c r="C442" s="168">
        <f>('Pivot Table for Data Exchange'!$Q$82)*100</f>
        <v>0</v>
      </c>
      <c r="D442" s="169">
        <f t="shared" si="52"/>
        <v>0</v>
      </c>
      <c r="E442" s="168">
        <f>('Pivot Table for Data Exchange'!$Q$85)*100</f>
        <v>0</v>
      </c>
      <c r="F442" s="168">
        <f>('Pivot Table for Data Exchange'!$Q$88)*100</f>
        <v>0</v>
      </c>
      <c r="G442" s="176">
        <f>('Pivot Table for Data Exchange'!$Q$91)*100</f>
        <v>0</v>
      </c>
      <c r="H442" s="168">
        <f>('Pivot Table for Data Exchange'!$Q$94)*100</f>
        <v>0</v>
      </c>
      <c r="I442" s="139"/>
      <c r="J442" s="207"/>
      <c r="K442" s="207"/>
      <c r="L442" s="207"/>
      <c r="M442" s="207"/>
      <c r="N442" s="207"/>
      <c r="O442" s="207"/>
      <c r="P442" s="207"/>
      <c r="Q442" s="173">
        <f t="shared" si="50"/>
        <v>0</v>
      </c>
      <c r="R442" s="173"/>
      <c r="S442" s="222"/>
      <c r="T442" s="226"/>
      <c r="U442" s="222"/>
      <c r="V442" s="222"/>
      <c r="W442" s="222"/>
      <c r="X442" s="222"/>
      <c r="Y442" s="222"/>
      <c r="Z442" s="222"/>
      <c r="AA442" s="222"/>
      <c r="AB442" s="222"/>
      <c r="AC442" s="222"/>
      <c r="AD442" s="222"/>
      <c r="AE442" s="222"/>
      <c r="AF442" s="222"/>
      <c r="AG442" s="222"/>
      <c r="AH442" s="222"/>
      <c r="AI442" s="222"/>
      <c r="AJ442" s="222"/>
      <c r="AK442" s="222"/>
      <c r="AL442" s="222"/>
      <c r="AM442" s="222"/>
      <c r="AN442" s="222"/>
      <c r="AO442" s="222"/>
    </row>
    <row r="443" spans="1:41" ht="15.75" customHeight="1">
      <c r="A443" s="139" t="s">
        <v>621</v>
      </c>
      <c r="B443" s="168">
        <f>('Pivot Table for Data Exchange'!$Q$115)*100</f>
        <v>0</v>
      </c>
      <c r="C443" s="168">
        <f>('Pivot Table for Data Exchange'!$Q$118)*100</f>
        <v>0</v>
      </c>
      <c r="D443" s="169">
        <f t="shared" si="52"/>
        <v>0</v>
      </c>
      <c r="E443" s="168">
        <f>('Pivot Table for Data Exchange'!$Q$121)*100</f>
        <v>0</v>
      </c>
      <c r="F443" s="168">
        <f>('Pivot Table for Data Exchange'!$Q$124)*100</f>
        <v>0</v>
      </c>
      <c r="G443" s="176">
        <f>('Pivot Table for Data Exchange'!$Q$127)*100</f>
        <v>0</v>
      </c>
      <c r="H443" s="168">
        <f>('Pivot Table for Data Exchange'!$Q$130)*100</f>
        <v>0</v>
      </c>
      <c r="I443" s="139"/>
      <c r="J443" s="207"/>
      <c r="K443" s="207"/>
      <c r="L443" s="207"/>
      <c r="M443" s="207"/>
      <c r="N443" s="207"/>
      <c r="O443" s="207"/>
      <c r="P443" s="207"/>
      <c r="Q443" s="173">
        <f t="shared" si="50"/>
        <v>0</v>
      </c>
      <c r="R443" s="173"/>
      <c r="S443" s="222"/>
      <c r="U443" s="222"/>
      <c r="V443" s="222"/>
      <c r="W443" s="222"/>
      <c r="X443" s="222"/>
      <c r="Y443" s="222"/>
      <c r="Z443" s="222"/>
      <c r="AA443" s="222"/>
      <c r="AB443" s="222"/>
      <c r="AC443" s="222"/>
      <c r="AD443" s="222"/>
      <c r="AE443" s="222"/>
      <c r="AF443" s="222"/>
      <c r="AG443" s="222"/>
      <c r="AH443" s="222"/>
      <c r="AI443" s="222"/>
      <c r="AJ443" s="222"/>
      <c r="AK443" s="222"/>
      <c r="AL443" s="222"/>
      <c r="AM443" s="222"/>
      <c r="AN443" s="222"/>
      <c r="AO443" s="222"/>
    </row>
    <row r="444" spans="1:41" ht="15.75" customHeight="1">
      <c r="B444" s="168"/>
      <c r="C444" s="168"/>
      <c r="D444" s="169"/>
      <c r="E444" s="168"/>
      <c r="F444" s="168"/>
      <c r="G444" s="176"/>
      <c r="H444" s="168"/>
      <c r="I444" s="139"/>
      <c r="J444" s="207"/>
      <c r="K444" s="207"/>
      <c r="L444" s="207"/>
      <c r="M444" s="207"/>
      <c r="N444" s="207"/>
      <c r="O444" s="207"/>
      <c r="P444" s="207"/>
      <c r="Q444" s="173">
        <f t="shared" si="50"/>
        <v>0</v>
      </c>
      <c r="R444" s="173"/>
      <c r="S444" s="222"/>
      <c r="U444" s="222"/>
      <c r="V444" s="222"/>
      <c r="W444" s="222"/>
      <c r="X444" s="222"/>
      <c r="Y444" s="222"/>
      <c r="Z444" s="222"/>
      <c r="AA444" s="222"/>
      <c r="AB444" s="222"/>
      <c r="AC444" s="222"/>
      <c r="AD444" s="222"/>
      <c r="AE444" s="222"/>
      <c r="AF444" s="222"/>
      <c r="AG444" s="222"/>
      <c r="AH444" s="222"/>
      <c r="AI444" s="222"/>
      <c r="AJ444" s="222"/>
      <c r="AK444" s="222"/>
      <c r="AL444" s="222"/>
      <c r="AM444" s="222"/>
      <c r="AN444" s="222"/>
      <c r="AO444" s="222"/>
    </row>
    <row r="445" spans="1:41" ht="15.75" customHeight="1">
      <c r="A445" s="139" t="s">
        <v>622</v>
      </c>
      <c r="B445" s="168">
        <f>('Pivot Table for Data Exchange'!$Q$151)*100</f>
        <v>0</v>
      </c>
      <c r="C445" s="168">
        <f>('Pivot Table for Data Exchange'!$Q$154)*100</f>
        <v>0</v>
      </c>
      <c r="D445" s="169">
        <f t="shared" ref="D445:D446" si="53">SUM(E445:G445)</f>
        <v>0</v>
      </c>
      <c r="E445" s="168">
        <f>('Pivot Table for Data Exchange'!$Q$157)*100</f>
        <v>0</v>
      </c>
      <c r="F445" s="168">
        <f>('Pivot Table for Data Exchange'!$Q$160)*100</f>
        <v>0</v>
      </c>
      <c r="G445" s="176">
        <f>('Pivot Table for Data Exchange'!$Q$163)*100</f>
        <v>0</v>
      </c>
      <c r="H445" s="168">
        <f>('Pivot Table for Data Exchange'!$Q$166)*100</f>
        <v>0</v>
      </c>
      <c r="I445" s="139"/>
      <c r="J445" s="207"/>
      <c r="K445" s="207"/>
      <c r="L445" s="207"/>
      <c r="M445" s="207"/>
      <c r="N445" s="207"/>
      <c r="O445" s="207"/>
      <c r="P445" s="207"/>
      <c r="Q445" s="173">
        <f t="shared" si="50"/>
        <v>0</v>
      </c>
      <c r="R445" s="173"/>
      <c r="S445" s="222"/>
      <c r="T445" s="222"/>
      <c r="U445" s="222"/>
      <c r="V445" s="222"/>
      <c r="W445" s="222"/>
      <c r="X445" s="222"/>
      <c r="Y445" s="222"/>
      <c r="Z445" s="222"/>
      <c r="AA445" s="222"/>
      <c r="AB445" s="222"/>
      <c r="AC445" s="222"/>
      <c r="AD445" s="222"/>
      <c r="AE445" s="222"/>
      <c r="AF445" s="222"/>
      <c r="AG445" s="222"/>
      <c r="AH445" s="222"/>
      <c r="AI445" s="222"/>
      <c r="AJ445" s="222"/>
      <c r="AK445" s="222"/>
      <c r="AL445" s="222"/>
      <c r="AM445" s="222"/>
      <c r="AN445" s="222"/>
      <c r="AO445" s="222"/>
    </row>
    <row r="446" spans="1:41" ht="15.75" customHeight="1">
      <c r="A446" s="139" t="s">
        <v>623</v>
      </c>
      <c r="B446" s="168">
        <f>('Pivot Table for Data Exchange'!$Q$187)*100</f>
        <v>0</v>
      </c>
      <c r="C446" s="168">
        <f>('Pivot Table for Data Exchange'!$Q$190)*100</f>
        <v>0</v>
      </c>
      <c r="D446" s="169">
        <f t="shared" si="53"/>
        <v>0</v>
      </c>
      <c r="E446" s="168">
        <f>('Pivot Table for Data Exchange'!$Q$193)*100</f>
        <v>0</v>
      </c>
      <c r="F446" s="168">
        <f>('Pivot Table for Data Exchange'!$Q$196)*100</f>
        <v>0</v>
      </c>
      <c r="G446" s="176">
        <f>('Pivot Table for Data Exchange'!$Q$199)*100</f>
        <v>0</v>
      </c>
      <c r="H446" s="168">
        <f>('Pivot Table for Data Exchange'!$Q$202)*100</f>
        <v>0</v>
      </c>
      <c r="I446" s="139"/>
      <c r="J446" s="207"/>
      <c r="K446" s="207"/>
      <c r="L446" s="207"/>
      <c r="M446" s="207"/>
      <c r="N446" s="207"/>
      <c r="O446" s="207"/>
      <c r="P446" s="207"/>
      <c r="Q446" s="173">
        <f t="shared" si="50"/>
        <v>0</v>
      </c>
      <c r="R446" s="173"/>
      <c r="S446" s="222"/>
      <c r="T446" s="222"/>
      <c r="U446" s="222"/>
      <c r="V446" s="222"/>
      <c r="W446" s="222"/>
      <c r="X446" s="222"/>
      <c r="Y446" s="222"/>
      <c r="Z446" s="222"/>
      <c r="AA446" s="222"/>
      <c r="AB446" s="222"/>
      <c r="AC446" s="222"/>
      <c r="AD446" s="222"/>
      <c r="AE446" s="222"/>
      <c r="AF446" s="222"/>
      <c r="AG446" s="222"/>
      <c r="AH446" s="222"/>
      <c r="AI446" s="222"/>
      <c r="AJ446" s="222"/>
      <c r="AK446" s="222"/>
      <c r="AL446" s="222"/>
      <c r="AM446" s="222"/>
      <c r="AN446" s="222"/>
      <c r="AO446" s="222"/>
    </row>
    <row r="447" spans="1:41" ht="15.75" customHeight="1">
      <c r="A447" s="139" t="s">
        <v>624</v>
      </c>
      <c r="B447" s="168">
        <f>('Pivot Table for Data Exchange'!$Q$223)*100</f>
        <v>91.390728476821195</v>
      </c>
      <c r="C447" s="168">
        <f>('Pivot Table for Data Exchange'!$Q$226)*100</f>
        <v>0</v>
      </c>
      <c r="D447" s="169">
        <f>SUM(E447:G447)</f>
        <v>8.6092715231788102</v>
      </c>
      <c r="E447" s="168">
        <f>('Pivot Table for Data Exchange'!$Q$229)*100</f>
        <v>8.6092715231788102</v>
      </c>
      <c r="F447" s="168">
        <f>('Pivot Table for Data Exchange'!$Q$232)*100</f>
        <v>0</v>
      </c>
      <c r="G447" s="176">
        <f>('Pivot Table for Data Exchange'!$Q$235)*100</f>
        <v>0</v>
      </c>
      <c r="H447" s="168">
        <f>('Pivot Table for Data Exchange'!$Q$238)*100</f>
        <v>0</v>
      </c>
      <c r="I447" s="214"/>
      <c r="J447" s="207"/>
      <c r="K447" s="207"/>
      <c r="L447" s="207"/>
      <c r="M447" s="207"/>
      <c r="N447" s="207"/>
      <c r="O447" s="207"/>
      <c r="P447" s="207"/>
      <c r="Q447" s="173">
        <f t="shared" si="50"/>
        <v>100</v>
      </c>
      <c r="R447" s="173"/>
      <c r="S447" s="222"/>
      <c r="T447" s="226"/>
      <c r="U447" s="222"/>
      <c r="V447" s="222"/>
      <c r="W447" s="222"/>
      <c r="X447" s="222"/>
      <c r="Y447" s="222"/>
      <c r="Z447" s="222"/>
      <c r="AA447" s="222"/>
      <c r="AB447" s="222"/>
      <c r="AC447" s="222"/>
      <c r="AD447" s="222"/>
      <c r="AE447" s="222"/>
      <c r="AF447" s="222"/>
      <c r="AG447" s="222"/>
      <c r="AH447" s="222"/>
      <c r="AI447" s="222"/>
      <c r="AJ447" s="222"/>
      <c r="AK447" s="222"/>
      <c r="AL447" s="222"/>
      <c r="AM447" s="222"/>
      <c r="AN447" s="222"/>
      <c r="AO447" s="222"/>
    </row>
    <row r="448" spans="1:41" ht="15.75" customHeight="1">
      <c r="A448" s="139" t="s">
        <v>625</v>
      </c>
      <c r="B448" s="168">
        <f>('Pivot Table for Data Exchange'!$Q$259)*100</f>
        <v>0</v>
      </c>
      <c r="C448" s="168">
        <f>('Pivot Table for Data Exchange'!$Q$262)*100</f>
        <v>0</v>
      </c>
      <c r="D448" s="169">
        <f>SUM(E448:G448)</f>
        <v>0</v>
      </c>
      <c r="E448" s="168">
        <f>('Pivot Table for Data Exchange'!$Q$265)*100</f>
        <v>0</v>
      </c>
      <c r="F448" s="168">
        <f>('Pivot Table for Data Exchange'!$Q$268)*100</f>
        <v>0</v>
      </c>
      <c r="G448" s="176">
        <f>('Pivot Table for Data Exchange'!$Q$271)*100</f>
        <v>0</v>
      </c>
      <c r="H448" s="168">
        <f>('Pivot Table for Data Exchange'!$Q$274)*100</f>
        <v>0</v>
      </c>
      <c r="I448" s="139"/>
      <c r="J448" s="207"/>
      <c r="K448" s="207"/>
      <c r="L448" s="207"/>
      <c r="M448" s="207"/>
      <c r="N448" s="207"/>
      <c r="O448" s="207"/>
      <c r="P448" s="207"/>
      <c r="Q448" s="173">
        <f t="shared" si="50"/>
        <v>0</v>
      </c>
      <c r="R448" s="173"/>
      <c r="S448" s="222"/>
      <c r="U448" s="222"/>
      <c r="V448" s="222"/>
      <c r="W448" s="222"/>
      <c r="X448" s="222"/>
      <c r="Y448" s="222"/>
      <c r="Z448" s="222"/>
      <c r="AA448" s="222"/>
      <c r="AB448" s="222"/>
      <c r="AC448" s="222"/>
      <c r="AD448" s="222"/>
      <c r="AE448" s="222"/>
      <c r="AF448" s="222"/>
      <c r="AG448" s="222"/>
      <c r="AH448" s="222"/>
      <c r="AI448" s="222"/>
      <c r="AJ448" s="222"/>
      <c r="AK448" s="222"/>
      <c r="AL448" s="222"/>
      <c r="AM448" s="222"/>
      <c r="AN448" s="222"/>
      <c r="AO448" s="222"/>
    </row>
    <row r="449" spans="1:41" ht="15.75" customHeight="1">
      <c r="B449" s="168"/>
      <c r="C449" s="168"/>
      <c r="D449" s="169"/>
      <c r="E449" s="168"/>
      <c r="F449" s="168"/>
      <c r="G449" s="176"/>
      <c r="H449" s="168"/>
      <c r="I449" s="139"/>
      <c r="J449" s="207"/>
      <c r="K449" s="207"/>
      <c r="L449" s="207"/>
      <c r="M449" s="207"/>
      <c r="N449" s="207"/>
      <c r="O449" s="207"/>
      <c r="P449" s="207"/>
      <c r="Q449" s="173">
        <f t="shared" si="50"/>
        <v>0</v>
      </c>
      <c r="R449" s="173"/>
      <c r="S449" s="222"/>
      <c r="U449" s="222"/>
      <c r="V449" s="222"/>
      <c r="W449" s="222"/>
      <c r="X449" s="222"/>
      <c r="Y449" s="222"/>
      <c r="Z449" s="222"/>
      <c r="AA449" s="222"/>
      <c r="AB449" s="222"/>
      <c r="AC449" s="222"/>
      <c r="AD449" s="222"/>
      <c r="AE449" s="222"/>
      <c r="AF449" s="222"/>
      <c r="AG449" s="222"/>
      <c r="AH449" s="222"/>
      <c r="AI449" s="222"/>
      <c r="AJ449" s="222"/>
      <c r="AK449" s="222"/>
      <c r="AL449" s="222"/>
      <c r="AM449" s="222"/>
      <c r="AN449" s="222"/>
      <c r="AO449" s="222"/>
    </row>
    <row r="450" spans="1:41" ht="15.75" customHeight="1">
      <c r="A450" s="139" t="s">
        <v>626</v>
      </c>
      <c r="B450" s="168">
        <f>('Pivot Table for Data Exchange'!$Q$295)*100</f>
        <v>0</v>
      </c>
      <c r="C450" s="168">
        <f>('Pivot Table for Data Exchange'!$Q$298)*100</f>
        <v>0</v>
      </c>
      <c r="D450" s="169">
        <f>SUM(E450:G450)</f>
        <v>0</v>
      </c>
      <c r="E450" s="168">
        <f>('Pivot Table for Data Exchange'!$Q$301)*100</f>
        <v>0</v>
      </c>
      <c r="F450" s="168">
        <f>('Pivot Table for Data Exchange'!$Q$304)*100</f>
        <v>0</v>
      </c>
      <c r="G450" s="176">
        <f>('Pivot Table for Data Exchange'!$Q$307)*100</f>
        <v>0</v>
      </c>
      <c r="H450" s="168">
        <f>('Pivot Table for Data Exchange'!$Q$310)*100</f>
        <v>0</v>
      </c>
      <c r="I450" s="139"/>
      <c r="J450" s="207"/>
      <c r="K450" s="207"/>
      <c r="L450" s="207"/>
      <c r="M450" s="207"/>
      <c r="N450" s="207"/>
      <c r="O450" s="207"/>
      <c r="P450" s="207"/>
      <c r="Q450" s="173">
        <f t="shared" si="50"/>
        <v>0</v>
      </c>
      <c r="R450" s="173"/>
      <c r="S450" s="222"/>
      <c r="T450" s="222"/>
      <c r="U450" s="222"/>
      <c r="V450" s="222"/>
      <c r="W450" s="222"/>
      <c r="X450" s="222"/>
      <c r="Y450" s="222"/>
      <c r="Z450" s="222"/>
      <c r="AA450" s="222"/>
      <c r="AB450" s="222"/>
      <c r="AC450" s="222"/>
      <c r="AD450" s="222"/>
      <c r="AE450" s="222"/>
      <c r="AF450" s="222"/>
      <c r="AG450" s="222"/>
      <c r="AH450" s="222"/>
      <c r="AI450" s="222"/>
      <c r="AJ450" s="222"/>
      <c r="AK450" s="222"/>
      <c r="AL450" s="222"/>
      <c r="AM450" s="222"/>
      <c r="AN450" s="222"/>
      <c r="AO450" s="222"/>
    </row>
    <row r="451" spans="1:41" ht="15.75" customHeight="1">
      <c r="A451" s="139" t="s">
        <v>627</v>
      </c>
      <c r="B451" s="168">
        <f>('Pivot Table for Data Exchange'!$Q$331)*100</f>
        <v>0</v>
      </c>
      <c r="C451" s="168">
        <f>('Pivot Table for Data Exchange'!$Q$334)*100</f>
        <v>0</v>
      </c>
      <c r="D451" s="169">
        <f>SUM(E451:G451)</f>
        <v>0</v>
      </c>
      <c r="E451" s="168">
        <f>('Pivot Table for Data Exchange'!$Q$337)*100</f>
        <v>0</v>
      </c>
      <c r="F451" s="168">
        <f>('Pivot Table for Data Exchange'!$Q$340)*100</f>
        <v>0</v>
      </c>
      <c r="G451" s="176">
        <f>('Pivot Table for Data Exchange'!$Q$343)*100</f>
        <v>0</v>
      </c>
      <c r="H451" s="168">
        <f>('Pivot Table for Data Exchange'!$Q$346)*100</f>
        <v>0</v>
      </c>
      <c r="I451" s="139"/>
      <c r="J451" s="207"/>
      <c r="K451" s="207"/>
      <c r="L451" s="207"/>
      <c r="M451" s="207"/>
      <c r="N451" s="207"/>
      <c r="O451" s="207"/>
      <c r="P451" s="207"/>
      <c r="Q451" s="173">
        <f t="shared" si="50"/>
        <v>0</v>
      </c>
      <c r="R451" s="173"/>
      <c r="S451" s="222"/>
      <c r="T451" s="222"/>
      <c r="U451" s="222"/>
      <c r="V451" s="222"/>
      <c r="W451" s="222"/>
      <c r="X451" s="222"/>
      <c r="Y451" s="222"/>
      <c r="Z451" s="222"/>
      <c r="AA451" s="222"/>
      <c r="AB451" s="222"/>
      <c r="AC451" s="222"/>
      <c r="AD451" s="222"/>
      <c r="AE451" s="222"/>
      <c r="AF451" s="222"/>
      <c r="AG451" s="222"/>
      <c r="AH451" s="222"/>
      <c r="AI451" s="222"/>
      <c r="AJ451" s="222"/>
      <c r="AK451" s="222"/>
      <c r="AL451" s="222"/>
      <c r="AM451" s="222"/>
      <c r="AN451" s="222"/>
      <c r="AO451" s="222"/>
    </row>
    <row r="452" spans="1:41" ht="15.75" customHeight="1">
      <c r="A452" s="139" t="s">
        <v>628</v>
      </c>
      <c r="B452" s="168">
        <f>('Pivot Table for Data Exchange'!$Q$367)*100</f>
        <v>0</v>
      </c>
      <c r="C452" s="168">
        <f>('Pivot Table for Data Exchange'!$Q$370)*100</f>
        <v>0</v>
      </c>
      <c r="D452" s="169">
        <f>SUM(E452:G452)</f>
        <v>0</v>
      </c>
      <c r="E452" s="168">
        <f>('Pivot Table for Data Exchange'!$Q$373)*100</f>
        <v>0</v>
      </c>
      <c r="F452" s="168">
        <f>('Pivot Table for Data Exchange'!$Q$376)*100</f>
        <v>0</v>
      </c>
      <c r="G452" s="176">
        <f>('Pivot Table for Data Exchange'!$Q$379)*100</f>
        <v>0</v>
      </c>
      <c r="H452" s="168">
        <f>('Pivot Table for Data Exchange'!$Q$382)*100</f>
        <v>0</v>
      </c>
      <c r="I452" s="139"/>
      <c r="J452" s="207"/>
      <c r="K452" s="207"/>
      <c r="L452" s="207"/>
      <c r="M452" s="207"/>
      <c r="N452" s="207"/>
      <c r="O452" s="207"/>
      <c r="P452" s="207"/>
      <c r="Q452" s="173">
        <f t="shared" si="50"/>
        <v>0</v>
      </c>
      <c r="R452" s="173"/>
      <c r="S452" s="222"/>
      <c r="T452" s="226"/>
      <c r="U452" s="222"/>
      <c r="V452" s="222"/>
      <c r="W452" s="222"/>
      <c r="X452" s="222"/>
      <c r="Y452" s="222"/>
      <c r="Z452" s="222"/>
      <c r="AA452" s="222"/>
      <c r="AB452" s="222"/>
      <c r="AC452" s="222"/>
      <c r="AD452" s="222"/>
      <c r="AE452" s="222"/>
      <c r="AF452" s="222"/>
      <c r="AG452" s="222"/>
      <c r="AH452" s="222"/>
      <c r="AI452" s="222"/>
      <c r="AJ452" s="222"/>
      <c r="AK452" s="222"/>
      <c r="AL452" s="222"/>
      <c r="AM452" s="222"/>
      <c r="AN452" s="222"/>
      <c r="AO452" s="222"/>
    </row>
    <row r="453" spans="1:41" ht="15.75" customHeight="1">
      <c r="A453" s="139" t="s">
        <v>629</v>
      </c>
      <c r="B453" s="168">
        <f>('Pivot Table for Data Exchange'!$Q$403)*100</f>
        <v>0</v>
      </c>
      <c r="C453" s="168">
        <f>('Pivot Table for Data Exchange'!$Q$406)*100</f>
        <v>0</v>
      </c>
      <c r="D453" s="169">
        <f>SUM(E453:G453)</f>
        <v>0</v>
      </c>
      <c r="E453" s="168">
        <f>('Pivot Table for Data Exchange'!$Q$409)*100</f>
        <v>0</v>
      </c>
      <c r="F453" s="168">
        <f>('Pivot Table for Data Exchange'!$Q$412)*100</f>
        <v>0</v>
      </c>
      <c r="G453" s="176">
        <f>('Pivot Table for Data Exchange'!$Q$415)*100</f>
        <v>0</v>
      </c>
      <c r="H453" s="168">
        <f>('Pivot Table for Data Exchange'!$Q$418)*100</f>
        <v>0</v>
      </c>
      <c r="I453" s="139"/>
      <c r="J453" s="207"/>
      <c r="K453" s="207"/>
      <c r="L453" s="207"/>
      <c r="M453" s="207"/>
      <c r="N453" s="207"/>
      <c r="O453" s="207"/>
      <c r="P453" s="207"/>
      <c r="Q453" s="173">
        <f t="shared" si="50"/>
        <v>0</v>
      </c>
      <c r="R453" s="173"/>
      <c r="S453" s="222"/>
      <c r="T453" s="222"/>
      <c r="U453" s="222"/>
      <c r="V453" s="222"/>
      <c r="W453" s="222"/>
      <c r="X453" s="222"/>
      <c r="Y453" s="222"/>
      <c r="Z453" s="222"/>
      <c r="AA453" s="222"/>
      <c r="AB453" s="222"/>
      <c r="AC453" s="222"/>
      <c r="AD453" s="222"/>
      <c r="AE453" s="222"/>
      <c r="AF453" s="222"/>
      <c r="AG453" s="222"/>
      <c r="AH453" s="222"/>
      <c r="AI453" s="222"/>
      <c r="AJ453" s="222"/>
      <c r="AK453" s="222"/>
      <c r="AL453" s="222"/>
      <c r="AM453" s="222"/>
      <c r="AN453" s="222"/>
      <c r="AO453" s="222"/>
    </row>
    <row r="454" spans="1:41" ht="15.75" customHeight="1">
      <c r="B454" s="168"/>
      <c r="C454" s="168"/>
      <c r="D454" s="169"/>
      <c r="E454" s="168"/>
      <c r="F454" s="168"/>
      <c r="G454" s="176"/>
      <c r="H454" s="168"/>
      <c r="I454" s="139"/>
      <c r="J454" s="207"/>
      <c r="K454" s="207"/>
      <c r="L454" s="207"/>
      <c r="M454" s="207"/>
      <c r="N454" s="207"/>
      <c r="O454" s="207"/>
      <c r="P454" s="207"/>
      <c r="Q454" s="173">
        <f t="shared" si="50"/>
        <v>0</v>
      </c>
      <c r="R454" s="173"/>
      <c r="S454" s="222"/>
      <c r="T454" s="222"/>
      <c r="U454" s="222"/>
      <c r="V454" s="222"/>
      <c r="W454" s="222"/>
      <c r="X454" s="222"/>
      <c r="Y454" s="222"/>
      <c r="Z454" s="222"/>
      <c r="AA454" s="222"/>
      <c r="AB454" s="222"/>
      <c r="AC454" s="222"/>
      <c r="AD454" s="222"/>
      <c r="AE454" s="222"/>
      <c r="AF454" s="222"/>
      <c r="AG454" s="222"/>
      <c r="AH454" s="222"/>
      <c r="AI454" s="222"/>
      <c r="AJ454" s="222"/>
      <c r="AK454" s="222"/>
      <c r="AL454" s="222"/>
      <c r="AM454" s="222"/>
      <c r="AN454" s="222"/>
      <c r="AO454" s="222"/>
    </row>
    <row r="455" spans="1:41" ht="15.75" customHeight="1">
      <c r="A455" s="139" t="s">
        <v>630</v>
      </c>
      <c r="B455" s="168">
        <f>('Pivot Table for Data Exchange'!$Q$439)*100</f>
        <v>0</v>
      </c>
      <c r="C455" s="168">
        <f>('Pivot Table for Data Exchange'!$Q$442)*100</f>
        <v>0</v>
      </c>
      <c r="D455" s="169">
        <f>SUM(E455:G455)</f>
        <v>0</v>
      </c>
      <c r="E455" s="168">
        <f>('Pivot Table for Data Exchange'!$Q$445)*100</f>
        <v>0</v>
      </c>
      <c r="F455" s="168">
        <f>('Pivot Table for Data Exchange'!$Q$448)*100</f>
        <v>0</v>
      </c>
      <c r="G455" s="176">
        <f>('Pivot Table for Data Exchange'!$Q$451)*100</f>
        <v>0</v>
      </c>
      <c r="H455" s="168">
        <f>('Pivot Table for Data Exchange'!$Q$454)*100</f>
        <v>0</v>
      </c>
      <c r="I455" s="139"/>
      <c r="J455" s="207"/>
      <c r="K455" s="207"/>
      <c r="L455" s="207"/>
      <c r="M455" s="207"/>
      <c r="N455" s="207"/>
      <c r="O455" s="207"/>
      <c r="P455" s="207"/>
      <c r="Q455" s="173">
        <f t="shared" si="50"/>
        <v>0</v>
      </c>
      <c r="R455" s="173"/>
      <c r="S455" s="222"/>
      <c r="T455" s="222"/>
      <c r="U455" s="222"/>
      <c r="V455" s="222"/>
      <c r="W455" s="222"/>
      <c r="X455" s="222"/>
      <c r="Y455" s="222"/>
      <c r="Z455" s="222"/>
      <c r="AA455" s="222"/>
      <c r="AB455" s="222"/>
      <c r="AC455" s="222"/>
      <c r="AD455" s="222"/>
      <c r="AE455" s="222"/>
      <c r="AF455" s="222"/>
      <c r="AG455" s="222"/>
      <c r="AH455" s="222"/>
      <c r="AI455" s="222"/>
      <c r="AJ455" s="222"/>
      <c r="AK455" s="222"/>
      <c r="AL455" s="222"/>
      <c r="AM455" s="222"/>
      <c r="AN455" s="222"/>
      <c r="AO455" s="222"/>
    </row>
    <row r="456" spans="1:41" ht="15.75" customHeight="1">
      <c r="A456" s="139" t="s">
        <v>631</v>
      </c>
      <c r="B456" s="168">
        <f>('Pivot Table for Data Exchange'!$Q$475)*100</f>
        <v>0</v>
      </c>
      <c r="C456" s="168">
        <f>('Pivot Table for Data Exchange'!$Q$478)*100</f>
        <v>0</v>
      </c>
      <c r="D456" s="169">
        <f>SUM(E456:G456)</f>
        <v>0</v>
      </c>
      <c r="E456" s="168">
        <f>('Pivot Table for Data Exchange'!$Q$481)*100</f>
        <v>0</v>
      </c>
      <c r="F456" s="168">
        <f>('Pivot Table for Data Exchange'!$Q$484)*100</f>
        <v>0</v>
      </c>
      <c r="G456" s="176">
        <f>('Pivot Table for Data Exchange'!$Q$487)*100</f>
        <v>0</v>
      </c>
      <c r="H456" s="168">
        <f>('Pivot Table for Data Exchange'!$Q$490)*100</f>
        <v>0</v>
      </c>
      <c r="I456" s="139"/>
      <c r="J456" s="207"/>
      <c r="K456" s="207"/>
      <c r="L456" s="207"/>
      <c r="M456" s="207"/>
      <c r="N456" s="207"/>
      <c r="O456" s="207"/>
      <c r="P456" s="207"/>
      <c r="Q456" s="173">
        <f t="shared" si="50"/>
        <v>0</v>
      </c>
      <c r="R456" s="173"/>
      <c r="S456" s="222"/>
      <c r="T456" s="222"/>
      <c r="U456" s="222"/>
      <c r="V456" s="222"/>
      <c r="W456" s="222"/>
      <c r="X456" s="222"/>
      <c r="Y456" s="222"/>
      <c r="Z456" s="222"/>
      <c r="AA456" s="222"/>
      <c r="AB456" s="222"/>
      <c r="AC456" s="222"/>
      <c r="AD456" s="222"/>
      <c r="AE456" s="222"/>
      <c r="AF456" s="222"/>
      <c r="AG456" s="222"/>
      <c r="AH456" s="222"/>
      <c r="AI456" s="222"/>
      <c r="AJ456" s="222"/>
      <c r="AK456" s="222"/>
      <c r="AL456" s="222"/>
      <c r="AM456" s="222"/>
      <c r="AN456" s="222"/>
      <c r="AO456" s="222"/>
    </row>
    <row r="457" spans="1:41" ht="15.75" customHeight="1">
      <c r="A457" s="139" t="s">
        <v>632</v>
      </c>
      <c r="B457" s="168">
        <f>('Pivot Table for Data Exchange'!$Q$511)*100</f>
        <v>0</v>
      </c>
      <c r="C457" s="168">
        <f>('Pivot Table for Data Exchange'!$Q$514)*100</f>
        <v>0</v>
      </c>
      <c r="D457" s="169">
        <f>SUM(E457:G457)</f>
        <v>0</v>
      </c>
      <c r="E457" s="168">
        <f>('Pivot Table for Data Exchange'!$Q$517)*100</f>
        <v>0</v>
      </c>
      <c r="F457" s="168">
        <f>('Pivot Table for Data Exchange'!$Q$520)*100</f>
        <v>0</v>
      </c>
      <c r="G457" s="176">
        <f>('Pivot Table for Data Exchange'!$Q$523)*100</f>
        <v>0</v>
      </c>
      <c r="H457" s="168">
        <f>('Pivot Table for Data Exchange'!$Q$526)*100</f>
        <v>0</v>
      </c>
      <c r="I457" s="139"/>
      <c r="J457" s="207"/>
      <c r="K457" s="207"/>
      <c r="L457" s="207"/>
      <c r="M457" s="207"/>
      <c r="N457" s="207"/>
      <c r="O457" s="207"/>
      <c r="P457" s="207"/>
      <c r="Q457" s="173">
        <f t="shared" si="50"/>
        <v>0</v>
      </c>
      <c r="R457" s="173"/>
      <c r="S457" s="222"/>
      <c r="T457" s="222"/>
      <c r="U457" s="222"/>
      <c r="V457" s="222"/>
      <c r="W457" s="222"/>
      <c r="X457" s="222"/>
      <c r="Y457" s="222"/>
      <c r="Z457" s="222"/>
      <c r="AA457" s="222"/>
      <c r="AB457" s="222"/>
      <c r="AC457" s="222"/>
      <c r="AD457" s="222"/>
      <c r="AE457" s="222"/>
      <c r="AF457" s="222"/>
      <c r="AG457" s="222"/>
      <c r="AH457" s="222"/>
      <c r="AI457" s="222"/>
      <c r="AJ457" s="222"/>
      <c r="AK457" s="222"/>
      <c r="AL457" s="222"/>
      <c r="AM457" s="222"/>
      <c r="AN457" s="222"/>
      <c r="AO457" s="222"/>
    </row>
    <row r="458" spans="1:41" ht="15.75" customHeight="1">
      <c r="A458" s="145" t="s">
        <v>633</v>
      </c>
      <c r="B458" s="181">
        <f>('Pivot Table for Data Exchange'!$Q$547)*100</f>
        <v>0</v>
      </c>
      <c r="C458" s="181">
        <f>('Pivot Table for Data Exchange'!$Q$550)*100</f>
        <v>0</v>
      </c>
      <c r="D458" s="182">
        <f>SUM(E458:G458)</f>
        <v>0</v>
      </c>
      <c r="E458" s="181">
        <f>('Pivot Table for Data Exchange'!$Q$553)*100</f>
        <v>0</v>
      </c>
      <c r="F458" s="181">
        <f>('Pivot Table for Data Exchange'!$Q$556)*100</f>
        <v>0</v>
      </c>
      <c r="G458" s="183">
        <f>('Pivot Table for Data Exchange'!$Q$559)*100</f>
        <v>0</v>
      </c>
      <c r="H458" s="181">
        <f>('Pivot Table for Data Exchange'!$Q$562)*100</f>
        <v>0</v>
      </c>
      <c r="I458" s="139"/>
      <c r="J458" s="207"/>
      <c r="K458" s="207"/>
      <c r="L458" s="207"/>
      <c r="M458" s="207"/>
      <c r="N458" s="207"/>
      <c r="O458" s="207"/>
      <c r="P458" s="207"/>
      <c r="Q458" s="173">
        <f t="shared" si="50"/>
        <v>0</v>
      </c>
      <c r="R458" s="173"/>
      <c r="S458" s="222"/>
      <c r="T458" s="222"/>
      <c r="U458" s="222"/>
      <c r="V458" s="222"/>
      <c r="W458" s="222"/>
      <c r="X458" s="222"/>
      <c r="Y458" s="222"/>
      <c r="Z458" s="222"/>
      <c r="AA458" s="222"/>
      <c r="AB458" s="222"/>
      <c r="AC458" s="222"/>
      <c r="AD458" s="222"/>
      <c r="AE458" s="222"/>
      <c r="AF458" s="222"/>
      <c r="AG458" s="222"/>
      <c r="AH458" s="222"/>
      <c r="AI458" s="222"/>
      <c r="AJ458" s="222"/>
      <c r="AK458" s="222"/>
      <c r="AL458" s="222"/>
      <c r="AM458" s="222"/>
      <c r="AN458" s="222"/>
      <c r="AO458" s="222"/>
    </row>
    <row r="459" spans="1:41" s="212" customFormat="1" ht="13.5" customHeight="1">
      <c r="A459" s="187" t="s">
        <v>658</v>
      </c>
      <c r="B459" s="188"/>
      <c r="C459" s="188"/>
      <c r="D459" s="189"/>
      <c r="E459" s="188"/>
      <c r="F459" s="189"/>
      <c r="G459" s="189"/>
      <c r="H459" s="188"/>
      <c r="I459" s="197"/>
      <c r="J459" s="188"/>
      <c r="K459" s="188"/>
      <c r="L459" s="189"/>
      <c r="M459" s="188"/>
      <c r="N459" s="189"/>
      <c r="O459" s="189"/>
      <c r="P459" s="188"/>
      <c r="Q459" s="208"/>
      <c r="R459" s="208"/>
      <c r="S459" s="225"/>
      <c r="T459" s="225"/>
      <c r="U459" s="225"/>
      <c r="V459" s="225"/>
      <c r="W459" s="225"/>
      <c r="X459" s="225"/>
      <c r="Y459" s="225"/>
      <c r="Z459" s="225"/>
      <c r="AA459" s="225"/>
      <c r="AB459" s="225"/>
      <c r="AC459" s="225"/>
      <c r="AD459" s="225"/>
      <c r="AE459" s="225"/>
      <c r="AF459" s="225"/>
      <c r="AG459" s="225"/>
      <c r="AH459" s="225"/>
      <c r="AI459" s="225"/>
      <c r="AJ459" s="225"/>
      <c r="AK459" s="225"/>
      <c r="AL459" s="225"/>
      <c r="AM459" s="225"/>
      <c r="AN459" s="225"/>
      <c r="AO459" s="225"/>
    </row>
    <row r="460" spans="1:41" s="212" customFormat="1" ht="18" customHeight="1">
      <c r="A460" s="197"/>
      <c r="B460" s="188"/>
      <c r="C460" s="188"/>
      <c r="D460" s="189"/>
      <c r="E460" s="188"/>
      <c r="F460" s="189"/>
      <c r="G460" s="189"/>
      <c r="H460" s="188"/>
      <c r="I460" s="197"/>
      <c r="J460" s="188"/>
      <c r="K460" s="188"/>
      <c r="L460" s="189"/>
      <c r="M460" s="188"/>
      <c r="N460" s="189"/>
      <c r="O460" s="189"/>
      <c r="P460" s="188"/>
      <c r="Q460" s="208"/>
      <c r="R460" s="208"/>
      <c r="S460" s="225"/>
      <c r="T460" s="225"/>
      <c r="U460" s="225"/>
      <c r="V460" s="225"/>
      <c r="W460" s="225"/>
      <c r="X460" s="225"/>
      <c r="Y460" s="225"/>
      <c r="Z460" s="225"/>
      <c r="AA460" s="225"/>
      <c r="AB460" s="225"/>
      <c r="AC460" s="225"/>
      <c r="AD460" s="225"/>
      <c r="AE460" s="225"/>
      <c r="AF460" s="225"/>
      <c r="AG460" s="225"/>
      <c r="AH460" s="225"/>
      <c r="AI460" s="225"/>
      <c r="AJ460" s="225"/>
      <c r="AK460" s="225"/>
      <c r="AL460" s="225"/>
      <c r="AM460" s="225"/>
      <c r="AN460" s="225"/>
      <c r="AO460" s="225"/>
    </row>
    <row r="461" spans="1:41" s="212" customFormat="1" ht="13.5" customHeight="1">
      <c r="A461" s="197"/>
      <c r="B461" s="198"/>
      <c r="C461" s="186"/>
      <c r="D461" s="186"/>
      <c r="E461" s="186"/>
      <c r="F461" s="186"/>
      <c r="G461" s="186"/>
      <c r="H461" s="192" t="s">
        <v>923</v>
      </c>
      <c r="I461" s="197"/>
      <c r="J461" s="186"/>
      <c r="K461" s="186"/>
      <c r="L461" s="186"/>
      <c r="M461" s="186"/>
      <c r="N461" s="186"/>
      <c r="O461" s="186"/>
      <c r="P461" s="199"/>
      <c r="Q461" s="216"/>
      <c r="R461" s="209"/>
    </row>
    <row r="462" spans="1:41" s="212" customFormat="1" ht="13.5" customHeight="1">
      <c r="A462" s="197"/>
      <c r="B462" s="186"/>
      <c r="C462" s="186"/>
      <c r="D462" s="186"/>
      <c r="E462" s="186"/>
      <c r="F462" s="186"/>
      <c r="G462" s="186"/>
      <c r="H462" s="186"/>
      <c r="I462" s="197"/>
      <c r="J462" s="186"/>
      <c r="K462" s="186"/>
      <c r="L462" s="186"/>
      <c r="M462" s="186"/>
      <c r="N462" s="186"/>
      <c r="O462" s="186"/>
      <c r="P462" s="186"/>
      <c r="Q462" s="216"/>
      <c r="R462" s="209"/>
    </row>
    <row r="463" spans="1:41" s="212" customFormat="1" ht="13.5" customHeight="1">
      <c r="A463" s="197"/>
      <c r="B463" s="186"/>
      <c r="C463" s="186"/>
      <c r="D463" s="186"/>
      <c r="E463" s="186"/>
      <c r="F463" s="186"/>
      <c r="G463" s="186"/>
      <c r="H463" s="186"/>
      <c r="I463" s="197"/>
      <c r="J463" s="186"/>
      <c r="K463" s="186"/>
      <c r="L463" s="186"/>
      <c r="M463" s="186"/>
      <c r="N463" s="186"/>
      <c r="O463" s="186"/>
      <c r="P463" s="186"/>
      <c r="Q463" s="216"/>
      <c r="R463" s="209"/>
    </row>
  </sheetData>
  <mergeCells count="42">
    <mergeCell ref="D347:G347"/>
    <mergeCell ref="A369:H369"/>
    <mergeCell ref="D378:G378"/>
    <mergeCell ref="D408:G408"/>
    <mergeCell ref="D438:G438"/>
    <mergeCell ref="A338:H338"/>
    <mergeCell ref="D192:G192"/>
    <mergeCell ref="L192:O192"/>
    <mergeCell ref="A214:H214"/>
    <mergeCell ref="I214:P214"/>
    <mergeCell ref="D223:G223"/>
    <mergeCell ref="A245:H245"/>
    <mergeCell ref="D254:G254"/>
    <mergeCell ref="A276:H276"/>
    <mergeCell ref="D285:G285"/>
    <mergeCell ref="A307:H307"/>
    <mergeCell ref="D316:G316"/>
    <mergeCell ref="D131:G131"/>
    <mergeCell ref="L131:O131"/>
    <mergeCell ref="A153:H153"/>
    <mergeCell ref="I153:P153"/>
    <mergeCell ref="D162:G162"/>
    <mergeCell ref="L162:O162"/>
    <mergeCell ref="D70:G70"/>
    <mergeCell ref="L70:O70"/>
    <mergeCell ref="D100:G100"/>
    <mergeCell ref="L100:O100"/>
    <mergeCell ref="A122:H122"/>
    <mergeCell ref="I122:P122"/>
    <mergeCell ref="D39:G39"/>
    <mergeCell ref="L39:O39"/>
    <mergeCell ref="A61:H61"/>
    <mergeCell ref="I61:P61"/>
    <mergeCell ref="A62:H62"/>
    <mergeCell ref="I62:P62"/>
    <mergeCell ref="A30:H30"/>
    <mergeCell ref="I30:P30"/>
    <mergeCell ref="Q2:X2"/>
    <mergeCell ref="D7:G7"/>
    <mergeCell ref="L7:O7"/>
    <mergeCell ref="A28:H28"/>
    <mergeCell ref="I28:P28"/>
  </mergeCells>
  <conditionalFormatting sqref="Q1:R7 Q9:R1048576">
    <cfRule type="cellIs" dxfId="12" priority="1" stopIfTrue="1" operator="notEqual">
      <formula>100</formula>
    </cfRule>
  </conditionalFormatting>
  <pageMargins left="0.7" right="0.7" top="0.75" bottom="0.75" header="0.3" footer="0.3"/>
  <pageSetup scale="97" firstPageNumber="100" orientation="landscape" useFirstPageNumber="1" r:id="rId1"/>
  <headerFooter>
    <oddHeader>&amp;R&amp;"Arial,Regular"&amp;8SREB-State Data Exchange</oddHeader>
    <oddFooter>&amp;C&amp;"Arial,Regular"&amp;10&amp;P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4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2CB2-8CE9-468D-A283-05219871B5E2}">
  <sheetPr>
    <tabColor theme="5" tint="0.59999389629810485"/>
  </sheetPr>
  <dimension ref="A1:AO532"/>
  <sheetViews>
    <sheetView showZeros="0" view="pageBreakPreview" topLeftCell="A403" zoomScaleNormal="100" zoomScaleSheetLayoutView="100" workbookViewId="0">
      <selection activeCell="H32" sqref="H32"/>
    </sheetView>
  </sheetViews>
  <sheetFormatPr defaultColWidth="8.84375" defaultRowHeight="12.5"/>
  <cols>
    <col min="1" max="1" width="10.4609375" style="139" customWidth="1"/>
    <col min="2" max="3" width="7.3046875" style="139" bestFit="1" customWidth="1"/>
    <col min="4" max="4" width="7.69140625" style="139" bestFit="1" customWidth="1"/>
    <col min="5" max="5" width="4.4609375" style="139" bestFit="1" customWidth="1"/>
    <col min="6" max="6" width="8.84375" style="139" customWidth="1"/>
    <col min="7" max="7" width="6.07421875" style="139" bestFit="1" customWidth="1"/>
    <col min="8" max="8" width="9.53515625" style="139" bestFit="1" customWidth="1"/>
    <col min="9" max="9" width="10.07421875" style="205" customWidth="1"/>
    <col min="10" max="11" width="7" style="139" customWidth="1"/>
    <col min="12" max="12" width="7.765625" style="139" bestFit="1" customWidth="1"/>
    <col min="13" max="13" width="5" style="139" bestFit="1" customWidth="1"/>
    <col min="14" max="14" width="8.765625" style="139" customWidth="1"/>
    <col min="15" max="15" width="6.07421875" style="139" bestFit="1" customWidth="1"/>
    <col min="16" max="16" width="9.53515625" style="139" bestFit="1" customWidth="1"/>
    <col min="17" max="17" width="9" style="143" bestFit="1" customWidth="1"/>
    <col min="18" max="18" width="9" style="149" bestFit="1" customWidth="1"/>
    <col min="19" max="16384" width="8.84375" style="139"/>
  </cols>
  <sheetData>
    <row r="1" spans="1:41" ht="18">
      <c r="A1" s="134" t="s">
        <v>637</v>
      </c>
      <c r="B1" s="135"/>
      <c r="C1" s="135"/>
      <c r="D1" s="135"/>
      <c r="E1" s="135"/>
      <c r="F1" s="135"/>
      <c r="G1" s="135"/>
      <c r="H1" s="135"/>
      <c r="I1" s="134" t="s">
        <v>638</v>
      </c>
      <c r="J1" s="136"/>
      <c r="K1" s="136"/>
      <c r="L1" s="135"/>
      <c r="M1" s="136"/>
      <c r="N1" s="136"/>
      <c r="O1" s="136"/>
      <c r="P1" s="136"/>
      <c r="Q1" s="137"/>
      <c r="R1" s="138"/>
    </row>
    <row r="2" spans="1:41" ht="14.5">
      <c r="A2" s="140"/>
      <c r="B2" s="136"/>
      <c r="C2" s="136"/>
      <c r="D2" s="136"/>
      <c r="E2" s="136"/>
      <c r="F2" s="136"/>
      <c r="G2" s="136"/>
      <c r="H2" s="136"/>
      <c r="I2" s="140"/>
      <c r="J2" s="136"/>
      <c r="K2" s="136"/>
      <c r="L2" s="136"/>
      <c r="M2" s="136"/>
      <c r="N2" s="136"/>
      <c r="O2" s="136"/>
      <c r="P2" s="136"/>
      <c r="Q2" s="504"/>
      <c r="R2" s="505"/>
      <c r="S2" s="505"/>
      <c r="T2" s="505"/>
      <c r="U2" s="505"/>
      <c r="V2" s="505"/>
      <c r="W2" s="505"/>
      <c r="X2" s="505"/>
    </row>
    <row r="3" spans="1:41" ht="15.5">
      <c r="A3" s="142" t="s">
        <v>639</v>
      </c>
      <c r="B3" s="136"/>
      <c r="C3" s="136"/>
      <c r="D3" s="136"/>
      <c r="E3" s="136"/>
      <c r="F3" s="136"/>
      <c r="G3" s="136"/>
      <c r="H3" s="136"/>
      <c r="I3" s="142" t="s">
        <v>640</v>
      </c>
      <c r="J3" s="136"/>
      <c r="K3" s="136"/>
      <c r="L3" s="136"/>
      <c r="M3" s="136"/>
      <c r="N3" s="136"/>
      <c r="O3" s="136"/>
      <c r="P3" s="136"/>
      <c r="R3" s="144" t="s">
        <v>533</v>
      </c>
    </row>
    <row r="4" spans="1:41" ht="15.5">
      <c r="A4" s="142" t="s">
        <v>881</v>
      </c>
      <c r="B4" s="136"/>
      <c r="C4" s="136"/>
      <c r="D4" s="136"/>
      <c r="E4" s="136"/>
      <c r="F4" s="136"/>
      <c r="G4" s="136"/>
      <c r="H4" s="136"/>
      <c r="I4" s="142" t="s">
        <v>881</v>
      </c>
      <c r="J4" s="136"/>
      <c r="K4" s="136"/>
      <c r="L4" s="136"/>
      <c r="M4" s="136"/>
      <c r="N4" s="136"/>
      <c r="O4" s="136"/>
      <c r="P4" s="136"/>
      <c r="R4" s="144" t="s">
        <v>533</v>
      </c>
    </row>
    <row r="5" spans="1:41">
      <c r="A5" s="145"/>
      <c r="B5" s="146"/>
      <c r="C5" s="146"/>
      <c r="D5" s="146"/>
      <c r="E5" s="146"/>
      <c r="F5" s="146"/>
      <c r="G5" s="146"/>
      <c r="H5" s="146"/>
      <c r="I5" s="147"/>
      <c r="L5" s="148"/>
      <c r="P5" s="145"/>
    </row>
    <row r="6" spans="1:41" s="155" customFormat="1" ht="11.5">
      <c r="A6" s="150"/>
      <c r="B6" s="151" t="s">
        <v>641</v>
      </c>
      <c r="C6" s="151"/>
      <c r="D6" s="151"/>
      <c r="E6" s="151"/>
      <c r="F6" s="151"/>
      <c r="G6" s="151"/>
      <c r="H6" s="152"/>
      <c r="I6" s="150"/>
      <c r="J6" s="151" t="s">
        <v>641</v>
      </c>
      <c r="K6" s="151"/>
      <c r="L6" s="151"/>
      <c r="M6" s="151"/>
      <c r="N6" s="151"/>
      <c r="O6" s="151"/>
      <c r="P6" s="152"/>
      <c r="Q6" s="153"/>
      <c r="R6" s="154"/>
    </row>
    <row r="7" spans="1:41" s="155" customFormat="1" ht="11.5">
      <c r="A7" s="150"/>
      <c r="B7" s="151" t="s">
        <v>642</v>
      </c>
      <c r="C7" s="151"/>
      <c r="D7" s="487" t="s">
        <v>643</v>
      </c>
      <c r="E7" s="485"/>
      <c r="F7" s="485"/>
      <c r="G7" s="485"/>
      <c r="H7" s="158" t="s">
        <v>533</v>
      </c>
      <c r="I7" s="150"/>
      <c r="J7" s="151" t="s">
        <v>642</v>
      </c>
      <c r="K7" s="151"/>
      <c r="L7" s="487" t="s">
        <v>643</v>
      </c>
      <c r="M7" s="485"/>
      <c r="N7" s="485"/>
      <c r="O7" s="485"/>
      <c r="P7" s="158" t="s">
        <v>533</v>
      </c>
      <c r="Q7" s="153"/>
      <c r="R7" s="154"/>
    </row>
    <row r="8" spans="1:41" s="155" customFormat="1" ht="40.5" customHeight="1">
      <c r="A8" s="150"/>
      <c r="B8" s="159" t="s">
        <v>644</v>
      </c>
      <c r="C8" s="160" t="s">
        <v>645</v>
      </c>
      <c r="D8" s="161" t="s">
        <v>646</v>
      </c>
      <c r="E8" s="162" t="s">
        <v>8</v>
      </c>
      <c r="F8" s="159" t="s">
        <v>647</v>
      </c>
      <c r="G8" s="163" t="s">
        <v>648</v>
      </c>
      <c r="H8" s="164" t="s">
        <v>649</v>
      </c>
      <c r="I8" s="150"/>
      <c r="J8" s="159" t="s">
        <v>644</v>
      </c>
      <c r="K8" s="160" t="s">
        <v>645</v>
      </c>
      <c r="L8" s="161" t="s">
        <v>646</v>
      </c>
      <c r="M8" s="162" t="s">
        <v>8</v>
      </c>
      <c r="N8" s="159" t="s">
        <v>647</v>
      </c>
      <c r="O8" s="163" t="s">
        <v>648</v>
      </c>
      <c r="P8" s="164" t="s">
        <v>649</v>
      </c>
      <c r="Q8" s="165" t="s">
        <v>650</v>
      </c>
      <c r="R8" s="165" t="s">
        <v>650</v>
      </c>
      <c r="S8" s="166"/>
    </row>
    <row r="9" spans="1:41" ht="15.75" customHeight="1">
      <c r="A9" s="167" t="s">
        <v>618</v>
      </c>
      <c r="B9" s="168">
        <f>('Pivot Table for Data Exchange'!$J$6)*100</f>
        <v>79.801022109890781</v>
      </c>
      <c r="C9" s="168">
        <f>('Pivot Table for Data Exchange'!$J$9)*100</f>
        <v>0.79050546702052338</v>
      </c>
      <c r="D9" s="169">
        <f>SUM(E9:G9)</f>
        <v>19.408472423088686</v>
      </c>
      <c r="E9" s="168">
        <f>('Pivot Table for Data Exchange'!$J$12)*100</f>
        <v>19.12945612583388</v>
      </c>
      <c r="F9" s="168">
        <f>('Pivot Table for Data Exchange'!$J$15)*100</f>
        <v>0.27901629725480637</v>
      </c>
      <c r="G9" s="170">
        <f>('Pivot Table for Data Exchange'!$J$18)*100</f>
        <v>0</v>
      </c>
      <c r="H9" s="168">
        <f>('Pivot Table for Data Exchange'!$J$21)*100</f>
        <v>0</v>
      </c>
      <c r="I9" s="171" t="s">
        <v>618</v>
      </c>
      <c r="J9" s="168">
        <f>('Pivot Table for Data Exchange'!$J$24)*100</f>
        <v>53.767397842061428</v>
      </c>
      <c r="K9" s="168">
        <f>('Pivot Table for Data Exchange'!$J$27)*100</f>
        <v>2.9295248076900515</v>
      </c>
      <c r="L9" s="169">
        <f>SUM(M9:O9)</f>
        <v>43.303077350248529</v>
      </c>
      <c r="M9" s="168">
        <f>('Pivot Table for Data Exchange'!$J$30)*100</f>
        <v>42.877785903397246</v>
      </c>
      <c r="N9" s="168">
        <f>('Pivot Table for Data Exchange'!$J$33)*100</f>
        <v>9.0924378292342414E-2</v>
      </c>
      <c r="O9" s="172">
        <f>('Pivot Table for Data Exchange'!$J$36)*100</f>
        <v>0.33436706855893661</v>
      </c>
      <c r="P9" s="168">
        <f>('Pivot Table for Data Exchange'!$J$39)*100</f>
        <v>0</v>
      </c>
      <c r="Q9" s="173">
        <f>SUM(B9,C9,D9,H9)</f>
        <v>99.999999999999986</v>
      </c>
      <c r="R9" s="173">
        <f>SUM(J9,K9,L9,P9)</f>
        <v>100</v>
      </c>
      <c r="S9" s="174"/>
      <c r="T9" s="155"/>
      <c r="U9" s="155"/>
      <c r="V9" s="155"/>
      <c r="W9" s="155"/>
      <c r="X9" s="155"/>
      <c r="Y9" s="155"/>
      <c r="Z9" s="155"/>
      <c r="AA9" s="155"/>
      <c r="AB9" s="155"/>
      <c r="AC9" s="155"/>
      <c r="AD9" s="155"/>
      <c r="AE9" s="155"/>
      <c r="AF9" s="155"/>
      <c r="AG9" s="174"/>
      <c r="AH9" s="174"/>
      <c r="AI9" s="174"/>
      <c r="AJ9" s="174"/>
      <c r="AK9" s="174"/>
      <c r="AL9" s="174"/>
      <c r="AM9" s="174"/>
      <c r="AN9" s="174"/>
      <c r="AO9" s="174"/>
    </row>
    <row r="10" spans="1:41" ht="15.75" customHeight="1">
      <c r="A10" s="139" t="s">
        <v>619</v>
      </c>
      <c r="B10" s="168">
        <f>('Pivot Table for Data Exchange'!$J$42)*100</f>
        <v>75.350220796541834</v>
      </c>
      <c r="C10" s="168">
        <f>('Pivot Table for Data Exchange'!$J$45)*100</f>
        <v>4.1265456233578197</v>
      </c>
      <c r="D10" s="169">
        <f t="shared" ref="D10:D26" si="0">SUM(E10:G10)</f>
        <v>20.397234002477184</v>
      </c>
      <c r="E10" s="168">
        <f>('Pivot Table for Data Exchange'!$J$48)*100</f>
        <v>20.13391438687816</v>
      </c>
      <c r="F10" s="168">
        <f>('Pivot Table for Data Exchange'!$J$51)*100</f>
        <v>0.1341807506511643</v>
      </c>
      <c r="G10" s="175">
        <f>('Pivot Table for Data Exchange'!$J$54)*100</f>
        <v>0.12913886494785928</v>
      </c>
      <c r="H10" s="168">
        <f>('Pivot Table for Data Exchange'!$J$57)*100</f>
        <v>0.12599957762315994</v>
      </c>
      <c r="I10" s="174" t="s">
        <v>619</v>
      </c>
      <c r="J10" s="168">
        <f>('Pivot Table for Data Exchange'!$J$60)*100</f>
        <v>47.471317812692611</v>
      </c>
      <c r="K10" s="168">
        <f>('Pivot Table for Data Exchange'!$J$63)*100</f>
        <v>4.4431708820380837</v>
      </c>
      <c r="L10" s="169">
        <f t="shared" ref="L10:L26" si="1">SUM(M10:O10)</f>
        <v>48.0855113052693</v>
      </c>
      <c r="M10" s="168">
        <f>('Pivot Table for Data Exchange'!$J$66)*100</f>
        <v>47.2739757134052</v>
      </c>
      <c r="N10" s="168">
        <f>('Pivot Table for Data Exchange'!$J$69)*100</f>
        <v>0.65203992257701748</v>
      </c>
      <c r="O10" s="176">
        <f>('Pivot Table for Data Exchange'!$J$72)*100</f>
        <v>0.15949566928708139</v>
      </c>
      <c r="P10" s="177">
        <f>('Pivot Table for Data Exchange'!$J$75)*100</f>
        <v>0</v>
      </c>
      <c r="Q10" s="173">
        <f>SUM(B10,C10,D10,H10)</f>
        <v>100</v>
      </c>
      <c r="R10" s="173">
        <f t="shared" ref="R10:R74" si="2">SUM(J10,K10,L10,P10)</f>
        <v>100</v>
      </c>
      <c r="S10" s="174"/>
      <c r="T10" s="155"/>
      <c r="U10" s="155"/>
      <c r="V10" s="155"/>
      <c r="W10" s="155"/>
      <c r="X10" s="155"/>
      <c r="Y10" s="155"/>
      <c r="Z10" s="155"/>
      <c r="AA10" s="155"/>
      <c r="AB10" s="155"/>
      <c r="AC10" s="155"/>
      <c r="AD10" s="155"/>
      <c r="AE10" s="155"/>
      <c r="AF10" s="155"/>
      <c r="AG10" s="174"/>
      <c r="AH10" s="174"/>
      <c r="AI10" s="174"/>
      <c r="AJ10" s="174"/>
      <c r="AK10" s="174"/>
      <c r="AL10" s="174"/>
      <c r="AM10" s="174"/>
      <c r="AN10" s="174"/>
      <c r="AO10" s="174"/>
    </row>
    <row r="11" spans="1:41" ht="15.75" customHeight="1">
      <c r="A11" s="139" t="s">
        <v>620</v>
      </c>
      <c r="B11" s="168">
        <f>('Pivot Table for Data Exchange'!$J$78)*100</f>
        <v>94.481730872337437</v>
      </c>
      <c r="C11" s="168">
        <f>('Pivot Table for Data Exchange'!$J$81)*100</f>
        <v>0</v>
      </c>
      <c r="D11" s="169">
        <f t="shared" si="0"/>
        <v>5.5182691276625579</v>
      </c>
      <c r="E11" s="168">
        <f>('Pivot Table for Data Exchange'!$J$84)*100</f>
        <v>5.5182691276625579</v>
      </c>
      <c r="F11" s="168">
        <f>('Pivot Table for Data Exchange'!$J$87)*100</f>
        <v>0</v>
      </c>
      <c r="G11" s="176">
        <f>('Pivot Table for Data Exchange'!$J$90)*100</f>
        <v>0</v>
      </c>
      <c r="H11" s="168">
        <f>('Pivot Table for Data Exchange'!$J$93)*100</f>
        <v>0</v>
      </c>
      <c r="I11" s="174" t="s">
        <v>620</v>
      </c>
      <c r="J11" s="168">
        <f>('Pivot Table for Data Exchange'!$J$96)*100</f>
        <v>83.58138350132819</v>
      </c>
      <c r="K11" s="168">
        <f>('Pivot Table for Data Exchange'!$J$99)*100</f>
        <v>0</v>
      </c>
      <c r="L11" s="169">
        <f t="shared" si="1"/>
        <v>16.41861649867181</v>
      </c>
      <c r="M11" s="168">
        <f>('Pivot Table for Data Exchange'!$J$102)*100</f>
        <v>16.41861649867181</v>
      </c>
      <c r="N11" s="168">
        <f>('Pivot Table for Data Exchange'!$J$105)*100</f>
        <v>0</v>
      </c>
      <c r="O11" s="176">
        <f>('Pivot Table for Data Exchange'!$J$108)*100</f>
        <v>0</v>
      </c>
      <c r="P11" s="168">
        <f>('Pivot Table for Data Exchange'!$J$111)*100</f>
        <v>0</v>
      </c>
      <c r="Q11" s="173">
        <f t="shared" ref="Q11:Q74" si="3">SUM(B11,C11,D11,H11)</f>
        <v>100</v>
      </c>
      <c r="R11" s="173">
        <f t="shared" si="2"/>
        <v>100</v>
      </c>
      <c r="S11" s="174"/>
      <c r="T11" s="155"/>
      <c r="U11" s="155"/>
      <c r="V11" s="155"/>
      <c r="W11" s="155"/>
      <c r="X11" s="155"/>
      <c r="Y11" s="155"/>
      <c r="Z11" s="155"/>
      <c r="AA11" s="155"/>
      <c r="AB11" s="155"/>
      <c r="AC11" s="155"/>
      <c r="AD11" s="155"/>
      <c r="AE11" s="155"/>
      <c r="AF11" s="155"/>
      <c r="AG11" s="174"/>
      <c r="AH11" s="174"/>
      <c r="AI11" s="174"/>
      <c r="AJ11" s="174"/>
      <c r="AK11" s="174"/>
      <c r="AL11" s="174"/>
      <c r="AM11" s="174"/>
      <c r="AN11" s="174"/>
      <c r="AO11" s="174"/>
    </row>
    <row r="12" spans="1:41" ht="15.75" customHeight="1">
      <c r="A12" s="139" t="s">
        <v>651</v>
      </c>
      <c r="B12" s="168">
        <f>('Pivot Table for Data Exchange'!$J$114)*100</f>
        <v>0</v>
      </c>
      <c r="C12" s="168">
        <f>('Pivot Table for Data Exchange'!$J$117)*100</f>
        <v>0</v>
      </c>
      <c r="D12" s="169">
        <f t="shared" si="0"/>
        <v>0</v>
      </c>
      <c r="E12" s="168">
        <f>('Pivot Table for Data Exchange'!$J$120)*100</f>
        <v>0</v>
      </c>
      <c r="F12" s="168">
        <f>('Pivot Table for Data Exchange'!$J$123)*100</f>
        <v>0</v>
      </c>
      <c r="G12" s="178">
        <f>('Pivot Table for Data Exchange'!$J$126)*100</f>
        <v>0</v>
      </c>
      <c r="H12" s="168">
        <f>('Pivot Table for Data Exchange'!$J$129)*100</f>
        <v>0</v>
      </c>
      <c r="I12" s="174" t="s">
        <v>651</v>
      </c>
      <c r="J12" s="168">
        <f>('Pivot Table for Data Exchange'!$J$132)*100</f>
        <v>0</v>
      </c>
      <c r="K12" s="168">
        <f>('Pivot Table for Data Exchange'!$J$135)*100</f>
        <v>0</v>
      </c>
      <c r="L12" s="169">
        <f t="shared" si="1"/>
        <v>0</v>
      </c>
      <c r="M12" s="168">
        <f>('Pivot Table for Data Exchange'!$J$138)*100</f>
        <v>0</v>
      </c>
      <c r="N12" s="168">
        <f>('Pivot Table for Data Exchange'!$J$141)*100</f>
        <v>0</v>
      </c>
      <c r="O12" s="175">
        <f>('Pivot Table for Data Exchange'!$J$144)*100</f>
        <v>0</v>
      </c>
      <c r="P12" s="168">
        <f>('Pivot Table for Data Exchange'!$J$147)*100</f>
        <v>0</v>
      </c>
      <c r="Q12" s="173">
        <f t="shared" si="3"/>
        <v>0</v>
      </c>
      <c r="R12" s="173">
        <f t="shared" si="2"/>
        <v>0</v>
      </c>
      <c r="S12" s="174"/>
      <c r="T12" s="155"/>
      <c r="U12" s="155"/>
      <c r="V12" s="155"/>
      <c r="W12" s="155"/>
      <c r="X12" s="155"/>
      <c r="Y12" s="155"/>
      <c r="Z12" s="155"/>
      <c r="AA12" s="155"/>
      <c r="AB12" s="155"/>
      <c r="AC12" s="155"/>
      <c r="AD12" s="155"/>
      <c r="AE12" s="155"/>
      <c r="AF12" s="155"/>
      <c r="AG12" s="174"/>
      <c r="AH12" s="174"/>
      <c r="AI12" s="174"/>
      <c r="AJ12" s="174"/>
      <c r="AK12" s="174"/>
      <c r="AL12" s="174"/>
      <c r="AM12" s="174"/>
      <c r="AN12" s="174"/>
      <c r="AO12" s="174"/>
    </row>
    <row r="13" spans="1:41" ht="9.75" customHeight="1">
      <c r="B13" s="168"/>
      <c r="C13" s="168"/>
      <c r="D13" s="169"/>
      <c r="E13" s="168"/>
      <c r="F13" s="168"/>
      <c r="G13" s="176"/>
      <c r="H13" s="168"/>
      <c r="I13" s="174"/>
      <c r="J13" s="168"/>
      <c r="K13" s="168"/>
      <c r="L13" s="169"/>
      <c r="M13" s="168"/>
      <c r="N13" s="168"/>
      <c r="O13" s="176"/>
      <c r="P13" s="168"/>
      <c r="Q13" s="173">
        <f t="shared" si="3"/>
        <v>0</v>
      </c>
      <c r="R13" s="173">
        <f t="shared" si="2"/>
        <v>0</v>
      </c>
      <c r="S13" s="174"/>
      <c r="T13" s="155"/>
      <c r="U13" s="155"/>
      <c r="V13" s="155"/>
      <c r="W13" s="155"/>
      <c r="X13" s="155"/>
      <c r="Y13" s="155"/>
      <c r="Z13" s="155"/>
      <c r="AA13" s="155"/>
      <c r="AB13" s="155"/>
      <c r="AC13" s="155"/>
      <c r="AD13" s="155"/>
      <c r="AE13" s="155"/>
      <c r="AF13" s="155"/>
      <c r="AG13" s="174"/>
      <c r="AH13" s="174"/>
      <c r="AI13" s="174"/>
      <c r="AJ13" s="174"/>
      <c r="AK13" s="174"/>
      <c r="AL13" s="174"/>
      <c r="AM13" s="174"/>
      <c r="AN13" s="174"/>
      <c r="AO13" s="174"/>
    </row>
    <row r="14" spans="1:41" ht="15.75" customHeight="1">
      <c r="A14" s="139" t="s">
        <v>622</v>
      </c>
      <c r="B14" s="168">
        <f>('Pivot Table for Data Exchange'!$J$150)*100</f>
        <v>78.61422310466007</v>
      </c>
      <c r="C14" s="168">
        <f>('Pivot Table for Data Exchange'!$J$153)*100</f>
        <v>1.7336230351676303</v>
      </c>
      <c r="D14" s="169">
        <f t="shared" si="0"/>
        <v>19.652153860172312</v>
      </c>
      <c r="E14" s="168">
        <f>('Pivot Table for Data Exchange'!$J$156)*100</f>
        <v>19.609027975569383</v>
      </c>
      <c r="F14" s="168">
        <f>('Pivot Table for Data Exchange'!$J$159)*100</f>
        <v>2.1505210193562579E-2</v>
      </c>
      <c r="G14" s="176">
        <f>('Pivot Table for Data Exchange'!$J$162)*100</f>
        <v>2.1620674409366943E-2</v>
      </c>
      <c r="H14" s="168">
        <f>('Pivot Table for Data Exchange'!$J$165)*100</f>
        <v>0</v>
      </c>
      <c r="I14" s="174" t="s">
        <v>622</v>
      </c>
      <c r="J14" s="168">
        <f>('Pivot Table for Data Exchange'!$J$168)*100</f>
        <v>61.984985330577459</v>
      </c>
      <c r="K14" s="168">
        <f>('Pivot Table for Data Exchange'!$J$171)*100</f>
        <v>10.565560924793296</v>
      </c>
      <c r="L14" s="169">
        <f t="shared" si="1"/>
        <v>27.449453744629256</v>
      </c>
      <c r="M14" s="168">
        <f>('Pivot Table for Data Exchange'!$J$174)*100</f>
        <v>27.442957163686998</v>
      </c>
      <c r="N14" s="168">
        <f>('Pivot Table for Data Exchange'!$J$177)*100</f>
        <v>1.9275569828678737E-3</v>
      </c>
      <c r="O14" s="176">
        <f>('Pivot Table for Data Exchange'!$J$180)*100</f>
        <v>4.569023959390516E-3</v>
      </c>
      <c r="P14" s="168">
        <f>('Pivot Table for Data Exchange'!$J$183)*100</f>
        <v>0</v>
      </c>
      <c r="Q14" s="173">
        <f t="shared" si="3"/>
        <v>100</v>
      </c>
      <c r="R14" s="173">
        <f t="shared" si="2"/>
        <v>100.00000000000001</v>
      </c>
      <c r="S14" s="174"/>
      <c r="T14" s="155"/>
      <c r="U14" s="155"/>
      <c r="V14" s="155"/>
      <c r="W14" s="155"/>
      <c r="X14" s="155"/>
      <c r="Y14" s="155"/>
      <c r="Z14" s="155"/>
      <c r="AA14" s="155"/>
      <c r="AB14" s="155"/>
      <c r="AC14" s="155"/>
      <c r="AD14" s="155"/>
      <c r="AE14" s="155"/>
      <c r="AF14" s="155"/>
      <c r="AG14" s="174"/>
      <c r="AH14" s="174"/>
      <c r="AI14" s="174"/>
      <c r="AJ14" s="174"/>
      <c r="AK14" s="174"/>
      <c r="AL14" s="174"/>
      <c r="AM14" s="174"/>
      <c r="AN14" s="174"/>
      <c r="AO14" s="174"/>
    </row>
    <row r="15" spans="1:41" ht="15.75" customHeight="1">
      <c r="A15" s="139" t="s">
        <v>623</v>
      </c>
      <c r="B15" s="168">
        <f>('Pivot Table for Data Exchange'!$J$186)*100</f>
        <v>77.305342709215168</v>
      </c>
      <c r="C15" s="168">
        <f>('Pivot Table for Data Exchange'!$J$189)*100</f>
        <v>4.149498598697857</v>
      </c>
      <c r="D15" s="169">
        <f t="shared" si="0"/>
        <v>18.545158692086979</v>
      </c>
      <c r="E15" s="168">
        <f>('Pivot Table for Data Exchange'!$J$192)*100</f>
        <v>17.666257024446296</v>
      </c>
      <c r="F15" s="168">
        <f>('Pivot Table for Data Exchange'!$J$195)*100</f>
        <v>0.82519187194343757</v>
      </c>
      <c r="G15" s="175">
        <f>('Pivot Table for Data Exchange'!$J$198)*100</f>
        <v>5.3709795697244288E-2</v>
      </c>
      <c r="H15" s="168">
        <f>('Pivot Table for Data Exchange'!$J$201)*100</f>
        <v>0</v>
      </c>
      <c r="I15" s="174" t="s">
        <v>623</v>
      </c>
      <c r="J15" s="168">
        <f>('Pivot Table for Data Exchange'!$J$204)*100</f>
        <v>52.219274871650057</v>
      </c>
      <c r="K15" s="168">
        <f>('Pivot Table for Data Exchange'!$J$207)*100</f>
        <v>3.7483590133351758</v>
      </c>
      <c r="L15" s="169">
        <f t="shared" si="1"/>
        <v>44.032366115014767</v>
      </c>
      <c r="M15" s="168">
        <f>('Pivot Table for Data Exchange'!$J$210)*100</f>
        <v>43.516563075471872</v>
      </c>
      <c r="N15" s="168">
        <f>('Pivot Table for Data Exchange'!$J$213)*100</f>
        <v>0.30611723779511474</v>
      </c>
      <c r="O15" s="175">
        <f>('Pivot Table for Data Exchange'!$J$216)*100</f>
        <v>0.20968580174778223</v>
      </c>
      <c r="P15" s="168">
        <f>('Pivot Table for Data Exchange'!$J$219)*100</f>
        <v>0</v>
      </c>
      <c r="Q15" s="173">
        <f t="shared" si="3"/>
        <v>100</v>
      </c>
      <c r="R15" s="173">
        <f t="shared" si="2"/>
        <v>100</v>
      </c>
      <c r="S15" s="174"/>
      <c r="T15" s="155"/>
      <c r="U15" s="155"/>
      <c r="V15" s="155"/>
      <c r="W15" s="155"/>
      <c r="X15" s="155"/>
      <c r="Y15" s="155"/>
      <c r="Z15" s="155"/>
      <c r="AA15" s="155"/>
      <c r="AB15" s="155"/>
      <c r="AC15" s="155"/>
      <c r="AD15" s="155"/>
      <c r="AE15" s="155"/>
      <c r="AF15" s="155"/>
      <c r="AG15" s="174"/>
      <c r="AH15" s="174"/>
      <c r="AI15" s="174"/>
      <c r="AJ15" s="174"/>
      <c r="AK15" s="174"/>
      <c r="AL15" s="174"/>
      <c r="AM15" s="174"/>
      <c r="AN15" s="174"/>
      <c r="AO15" s="174"/>
    </row>
    <row r="16" spans="1:41" ht="15.75" customHeight="1">
      <c r="A16" s="139" t="s">
        <v>624</v>
      </c>
      <c r="B16" s="168">
        <f>('Pivot Table for Data Exchange'!$J$222)*100</f>
        <v>82.814677764193576</v>
      </c>
      <c r="C16" s="168">
        <f>('Pivot Table for Data Exchange'!$J$225)*100</f>
        <v>0</v>
      </c>
      <c r="D16" s="169">
        <f t="shared" si="0"/>
        <v>17.185322235806392</v>
      </c>
      <c r="E16" s="168">
        <f>('Pivot Table for Data Exchange'!$J$228)*100</f>
        <v>17.185322235806392</v>
      </c>
      <c r="F16" s="168">
        <f>('Pivot Table for Data Exchange'!$J$231)*100</f>
        <v>0</v>
      </c>
      <c r="G16" s="176">
        <f>('Pivot Table for Data Exchange'!$J$234)*100</f>
        <v>0</v>
      </c>
      <c r="H16" s="168">
        <f>('Pivot Table for Data Exchange'!$J$237)*100</f>
        <v>0</v>
      </c>
      <c r="I16" s="174" t="s">
        <v>624</v>
      </c>
      <c r="J16" s="168">
        <f>('Pivot Table for Data Exchange'!$J$240)*100</f>
        <v>65.388391040216803</v>
      </c>
      <c r="K16" s="168">
        <f>('Pivot Table for Data Exchange'!$J$243)*100</f>
        <v>0</v>
      </c>
      <c r="L16" s="169">
        <f t="shared" si="1"/>
        <v>34.611608959783204</v>
      </c>
      <c r="M16" s="168">
        <f>('Pivot Table for Data Exchange'!$J$246)*100</f>
        <v>34.611608959783204</v>
      </c>
      <c r="N16" s="168">
        <f>('Pivot Table for Data Exchange'!$J$249)*100</f>
        <v>0</v>
      </c>
      <c r="O16" s="176">
        <f>('Pivot Table for Data Exchange'!$J$252)*100</f>
        <v>0</v>
      </c>
      <c r="P16" s="168">
        <f>('Pivot Table for Data Exchange'!$J$255)*100</f>
        <v>0</v>
      </c>
      <c r="Q16" s="173">
        <f t="shared" si="3"/>
        <v>99.999999999999972</v>
      </c>
      <c r="R16" s="173">
        <f t="shared" si="2"/>
        <v>100</v>
      </c>
      <c r="S16" s="174"/>
      <c r="T16" s="155"/>
      <c r="U16" s="155"/>
      <c r="V16" s="155"/>
      <c r="W16" s="155"/>
      <c r="X16" s="155"/>
      <c r="Y16" s="155"/>
      <c r="Z16" s="155"/>
      <c r="AA16" s="155"/>
      <c r="AB16" s="155"/>
      <c r="AC16" s="155"/>
      <c r="AD16" s="155"/>
      <c r="AE16" s="155"/>
      <c r="AF16" s="155"/>
      <c r="AG16" s="174"/>
      <c r="AH16" s="174"/>
      <c r="AI16" s="174"/>
      <c r="AJ16" s="174"/>
      <c r="AK16" s="174"/>
      <c r="AL16" s="174"/>
      <c r="AM16" s="174"/>
      <c r="AN16" s="174"/>
      <c r="AO16" s="174"/>
    </row>
    <row r="17" spans="1:41" ht="15.75" customHeight="1">
      <c r="A17" s="139" t="s">
        <v>625</v>
      </c>
      <c r="B17" s="168">
        <f>('Pivot Table for Data Exchange'!$J$258)*100</f>
        <v>66.064182033887221</v>
      </c>
      <c r="C17" s="168">
        <f>('Pivot Table for Data Exchange'!$J$261)*100</f>
        <v>2.5193681494564792</v>
      </c>
      <c r="D17" s="169">
        <f t="shared" si="0"/>
        <v>31.416449816656304</v>
      </c>
      <c r="E17" s="168">
        <f>('Pivot Table for Data Exchange'!$J$264)*100</f>
        <v>31.160853185185424</v>
      </c>
      <c r="F17" s="168">
        <f>('Pivot Table for Data Exchange'!$J$267)*100</f>
        <v>0.25559663147087897</v>
      </c>
      <c r="G17" s="176">
        <f>('Pivot Table for Data Exchange'!$J$270)*100</f>
        <v>0</v>
      </c>
      <c r="H17" s="168">
        <f>('Pivot Table for Data Exchange'!$J$273)*100</f>
        <v>0</v>
      </c>
      <c r="I17" s="174" t="s">
        <v>625</v>
      </c>
      <c r="J17" s="168">
        <f>('Pivot Table for Data Exchange'!$J$276)*100</f>
        <v>46.011028927470562</v>
      </c>
      <c r="K17" s="168">
        <f>('Pivot Table for Data Exchange'!$J$279)*100</f>
        <v>6.7732895118160021</v>
      </c>
      <c r="L17" s="169">
        <f t="shared" si="1"/>
        <v>47.215681560713435</v>
      </c>
      <c r="M17" s="168">
        <f>('Pivot Table for Data Exchange'!$J$282)*100</f>
        <v>46.599853123271068</v>
      </c>
      <c r="N17" s="168">
        <f>('Pivot Table for Data Exchange'!$J$285)*100</f>
        <v>0.61582843744236904</v>
      </c>
      <c r="O17" s="176">
        <f>('Pivot Table for Data Exchange'!$J$288)*100</f>
        <v>0</v>
      </c>
      <c r="P17" s="168">
        <f>('Pivot Table for Data Exchange'!$J$291)*100</f>
        <v>0</v>
      </c>
      <c r="Q17" s="173">
        <f t="shared" si="3"/>
        <v>100</v>
      </c>
      <c r="R17" s="173">
        <f>SUM(J17,K17,L17,P17)</f>
        <v>100</v>
      </c>
      <c r="S17" s="174"/>
      <c r="T17" s="155"/>
      <c r="U17" s="155"/>
      <c r="V17" s="155"/>
      <c r="W17" s="155"/>
      <c r="X17" s="155"/>
      <c r="Y17" s="155"/>
      <c r="Z17" s="155"/>
      <c r="AA17" s="155"/>
      <c r="AB17" s="155"/>
      <c r="AC17" s="155"/>
      <c r="AD17" s="155"/>
      <c r="AE17" s="155"/>
      <c r="AF17" s="155"/>
      <c r="AG17" s="174"/>
      <c r="AH17" s="174"/>
      <c r="AI17" s="174"/>
      <c r="AJ17" s="174"/>
      <c r="AK17" s="174"/>
      <c r="AL17" s="174"/>
      <c r="AM17" s="174"/>
      <c r="AN17" s="174"/>
      <c r="AO17" s="174"/>
    </row>
    <row r="18" spans="1:41" ht="11.25" customHeight="1">
      <c r="B18" s="168"/>
      <c r="C18" s="168"/>
      <c r="D18" s="169"/>
      <c r="E18" s="168"/>
      <c r="F18" s="168"/>
      <c r="G18" s="176"/>
      <c r="H18" s="168"/>
      <c r="I18" s="174"/>
      <c r="J18" s="168"/>
      <c r="K18" s="168"/>
      <c r="L18" s="169"/>
      <c r="M18" s="168"/>
      <c r="N18" s="168"/>
      <c r="O18" s="176"/>
      <c r="P18" s="168"/>
      <c r="Q18" s="173">
        <f t="shared" si="3"/>
        <v>0</v>
      </c>
      <c r="R18" s="173">
        <f t="shared" si="2"/>
        <v>0</v>
      </c>
      <c r="S18" s="174"/>
      <c r="T18" s="155"/>
      <c r="U18" s="155"/>
      <c r="V18" s="155"/>
      <c r="W18" s="155"/>
      <c r="X18" s="155"/>
      <c r="Y18" s="155"/>
      <c r="Z18" s="155"/>
      <c r="AA18" s="155"/>
      <c r="AB18" s="155"/>
      <c r="AC18" s="155"/>
      <c r="AD18" s="155"/>
      <c r="AE18" s="155"/>
      <c r="AF18" s="155"/>
      <c r="AG18" s="174"/>
      <c r="AH18" s="174"/>
      <c r="AI18" s="174"/>
      <c r="AJ18" s="174"/>
      <c r="AK18" s="174"/>
      <c r="AL18" s="174"/>
      <c r="AM18" s="174"/>
      <c r="AN18" s="174"/>
      <c r="AO18" s="174"/>
    </row>
    <row r="19" spans="1:41" ht="15.75" customHeight="1">
      <c r="A19" s="139" t="s">
        <v>626</v>
      </c>
      <c r="B19" s="168">
        <f>('Pivot Table for Data Exchange'!$J$294)*100</f>
        <v>74.564186359618176</v>
      </c>
      <c r="C19" s="168">
        <f>('Pivot Table for Data Exchange'!$J$297)*100</f>
        <v>4.010696984333709</v>
      </c>
      <c r="D19" s="169">
        <f t="shared" si="0"/>
        <v>21.09396435588118</v>
      </c>
      <c r="E19" s="168">
        <f>('Pivot Table for Data Exchange'!$J$300)*100</f>
        <v>20.406850655831828</v>
      </c>
      <c r="F19" s="168">
        <f>('Pivot Table for Data Exchange'!$J$303)*100</f>
        <v>0.68536504103856799</v>
      </c>
      <c r="G19" s="179">
        <f>('Pivot Table for Data Exchange'!$J$306)*100</f>
        <v>1.7486590107825047E-3</v>
      </c>
      <c r="H19" s="168">
        <f>('Pivot Table for Data Exchange'!$J$309)*100</f>
        <v>0.33115230016693686</v>
      </c>
      <c r="I19" s="174" t="s">
        <v>626</v>
      </c>
      <c r="J19" s="168">
        <f>('Pivot Table for Data Exchange'!$J$312)*100</f>
        <v>59.822784487049141</v>
      </c>
      <c r="K19" s="168">
        <f>('Pivot Table for Data Exchange'!$J$315)*100</f>
        <v>4.8727885282094254</v>
      </c>
      <c r="L19" s="169">
        <f t="shared" si="1"/>
        <v>35.24699997022303</v>
      </c>
      <c r="M19" s="168">
        <f>('Pivot Table for Data Exchange'!$J$318)*100</f>
        <v>34.645079781011653</v>
      </c>
      <c r="N19" s="168">
        <f>('Pivot Table for Data Exchange'!$J$321)*100</f>
        <v>0.59553940982044495</v>
      </c>
      <c r="O19" s="175">
        <f>('Pivot Table for Data Exchange'!$J$324)*100</f>
        <v>6.3807793909333383E-3</v>
      </c>
      <c r="P19" s="168">
        <f>('Pivot Table for Data Exchange'!$J$327)*100</f>
        <v>5.7427014518400044E-2</v>
      </c>
      <c r="Q19" s="173">
        <f t="shared" si="3"/>
        <v>100</v>
      </c>
      <c r="R19" s="173">
        <f t="shared" si="2"/>
        <v>99.999999999999986</v>
      </c>
      <c r="S19" s="174"/>
      <c r="T19" s="155"/>
      <c r="U19" s="155"/>
      <c r="V19" s="155"/>
      <c r="W19" s="155"/>
      <c r="X19" s="155"/>
      <c r="Y19" s="155"/>
      <c r="Z19" s="155"/>
      <c r="AA19" s="155"/>
      <c r="AB19" s="155"/>
      <c r="AC19" s="155"/>
      <c r="AD19" s="155"/>
      <c r="AE19" s="155"/>
      <c r="AF19" s="155"/>
      <c r="AG19" s="174"/>
      <c r="AH19" s="174"/>
      <c r="AI19" s="174"/>
      <c r="AJ19" s="174"/>
      <c r="AK19" s="174"/>
      <c r="AL19" s="174"/>
      <c r="AM19" s="174"/>
      <c r="AN19" s="174"/>
      <c r="AO19" s="174"/>
    </row>
    <row r="20" spans="1:41" ht="15.75" customHeight="1">
      <c r="A20" s="139" t="s">
        <v>627</v>
      </c>
      <c r="B20" s="168">
        <f>('Pivot Table for Data Exchange'!$J$330)*100</f>
        <v>80.899963958632696</v>
      </c>
      <c r="C20" s="168">
        <f>('Pivot Table for Data Exchange'!$J$333)*100</f>
        <v>0.7839113113882481</v>
      </c>
      <c r="D20" s="169">
        <f t="shared" si="0"/>
        <v>18.316124729979055</v>
      </c>
      <c r="E20" s="168">
        <f>('Pivot Table for Data Exchange'!$J$336)*100</f>
        <v>18.087341203429862</v>
      </c>
      <c r="F20" s="180">
        <f>('Pivot Table for Data Exchange'!$J$339)*100</f>
        <v>6.6453874780273106E-2</v>
      </c>
      <c r="G20" s="175">
        <f>('Pivot Table for Data Exchange'!$J$342)*100</f>
        <v>0.16232965176892011</v>
      </c>
      <c r="H20" s="168">
        <f>('Pivot Table for Data Exchange'!$J$345)*100</f>
        <v>0</v>
      </c>
      <c r="I20" s="174" t="s">
        <v>627</v>
      </c>
      <c r="J20" s="168">
        <f>('Pivot Table for Data Exchange'!$J$348)*100</f>
        <v>65.981301132057382</v>
      </c>
      <c r="K20" s="168">
        <f>('Pivot Table for Data Exchange'!$J$351)*100</f>
        <v>2.6189199471566758</v>
      </c>
      <c r="L20" s="169">
        <f t="shared" si="1"/>
        <v>31.399778920785941</v>
      </c>
      <c r="M20" s="168">
        <f>('Pivot Table for Data Exchange'!$J$354)*100</f>
        <v>31.208416587531492</v>
      </c>
      <c r="N20" s="180">
        <f>('Pivot Table for Data Exchange'!$J$357)*100</f>
        <v>1.3540352947872637E-2</v>
      </c>
      <c r="O20" s="176">
        <f>('Pivot Table for Data Exchange'!$J$360)*100</f>
        <v>0.17782198030657517</v>
      </c>
      <c r="P20" s="168">
        <f>('Pivot Table for Data Exchange'!$J$363)*100</f>
        <v>0</v>
      </c>
      <c r="Q20" s="173">
        <f t="shared" si="3"/>
        <v>100</v>
      </c>
      <c r="R20" s="173">
        <f t="shared" si="2"/>
        <v>100</v>
      </c>
      <c r="S20" s="174"/>
      <c r="T20" s="155"/>
      <c r="U20" s="155"/>
      <c r="V20" s="155"/>
      <c r="W20" s="155"/>
      <c r="X20" s="155"/>
      <c r="Y20" s="155"/>
      <c r="Z20" s="155"/>
      <c r="AA20" s="155"/>
      <c r="AB20" s="155"/>
      <c r="AC20" s="155"/>
      <c r="AD20" s="155"/>
      <c r="AE20" s="155"/>
      <c r="AF20" s="155"/>
      <c r="AG20" s="174"/>
      <c r="AH20" s="174"/>
      <c r="AI20" s="174"/>
      <c r="AJ20" s="174"/>
      <c r="AK20" s="174"/>
      <c r="AL20" s="174"/>
      <c r="AM20" s="174"/>
      <c r="AN20" s="174"/>
      <c r="AO20" s="174"/>
    </row>
    <row r="21" spans="1:41" ht="15.75" customHeight="1">
      <c r="A21" s="139" t="s">
        <v>628</v>
      </c>
      <c r="B21" s="168">
        <f>('Pivot Table for Data Exchange'!$J$366)*100</f>
        <v>0</v>
      </c>
      <c r="C21" s="168">
        <f>('Pivot Table for Data Exchange'!$J$369)*100</f>
        <v>0</v>
      </c>
      <c r="D21" s="169">
        <f t="shared" si="0"/>
        <v>0</v>
      </c>
      <c r="E21" s="168">
        <f>('Pivot Table for Data Exchange'!$J$372)*100</f>
        <v>0</v>
      </c>
      <c r="F21" s="168">
        <f>('Pivot Table for Data Exchange'!$J$375)*100</f>
        <v>0</v>
      </c>
      <c r="G21" s="176">
        <f>('Pivot Table for Data Exchange'!$J$378)*100</f>
        <v>0</v>
      </c>
      <c r="H21" s="168">
        <f>('Pivot Table for Data Exchange'!$J$381)*100</f>
        <v>0</v>
      </c>
      <c r="I21" s="174" t="s">
        <v>628</v>
      </c>
      <c r="J21" s="168">
        <f>('Pivot Table for Data Exchange'!$J$384)*100</f>
        <v>0</v>
      </c>
      <c r="K21" s="168">
        <f>('Pivot Table for Data Exchange'!$J$387)*100</f>
        <v>0</v>
      </c>
      <c r="L21" s="169">
        <f t="shared" si="1"/>
        <v>0</v>
      </c>
      <c r="M21" s="168">
        <f>('Pivot Table for Data Exchange'!$J$390)*100</f>
        <v>0</v>
      </c>
      <c r="N21" s="168">
        <f>('Pivot Table for Data Exchange'!$J$393)*100</f>
        <v>0</v>
      </c>
      <c r="O21" s="176">
        <f>('Pivot Table for Data Exchange'!$J$396)*100</f>
        <v>0</v>
      </c>
      <c r="P21" s="168">
        <f>('Pivot Table for Data Exchange'!$J$399)*100</f>
        <v>0</v>
      </c>
      <c r="Q21" s="173">
        <f t="shared" si="3"/>
        <v>0</v>
      </c>
      <c r="R21" s="173">
        <f t="shared" si="2"/>
        <v>0</v>
      </c>
      <c r="S21" s="174"/>
      <c r="T21" s="155"/>
      <c r="U21" s="155"/>
      <c r="V21" s="155"/>
      <c r="W21" s="155"/>
      <c r="X21" s="155"/>
      <c r="Y21" s="155"/>
      <c r="Z21" s="155"/>
      <c r="AA21" s="155"/>
      <c r="AB21" s="155"/>
      <c r="AC21" s="155"/>
      <c r="AD21" s="155"/>
      <c r="AE21" s="155"/>
      <c r="AF21" s="155"/>
      <c r="AG21" s="174"/>
      <c r="AH21" s="174"/>
      <c r="AI21" s="174"/>
      <c r="AJ21" s="174"/>
      <c r="AK21" s="174"/>
      <c r="AL21" s="174"/>
      <c r="AM21" s="174"/>
      <c r="AN21" s="174"/>
      <c r="AO21" s="174"/>
    </row>
    <row r="22" spans="1:41" ht="15.75" customHeight="1">
      <c r="A22" s="139" t="s">
        <v>629</v>
      </c>
      <c r="B22" s="168">
        <f>('Pivot Table for Data Exchange'!$J$402)*100</f>
        <v>84.531992457483909</v>
      </c>
      <c r="C22" s="168">
        <f>('Pivot Table for Data Exchange'!$J$405)*100</f>
        <v>2.1479462993747784</v>
      </c>
      <c r="D22" s="169">
        <f>SUM(E22:G22)</f>
        <v>13.320061243141318</v>
      </c>
      <c r="E22" s="168">
        <f>('Pivot Table for Data Exchange'!$J$408)*100</f>
        <v>13.319846580886438</v>
      </c>
      <c r="F22" s="168">
        <f>('Pivot Table for Data Exchange'!$J$411)*100</f>
        <v>2.1466225488030164E-4</v>
      </c>
      <c r="G22" s="175">
        <f>('Pivot Table for Data Exchange'!$J$414)*100</f>
        <v>0</v>
      </c>
      <c r="H22" s="168">
        <f>('Pivot Table for Data Exchange'!$J$417)*100</f>
        <v>0</v>
      </c>
      <c r="I22" s="174" t="s">
        <v>629</v>
      </c>
      <c r="J22" s="168">
        <f>('Pivot Table for Data Exchange'!$J$420)*100</f>
        <v>61.343224535718598</v>
      </c>
      <c r="K22" s="168">
        <f>('Pivot Table for Data Exchange'!$J$423)*100</f>
        <v>9.9901518191077141</v>
      </c>
      <c r="L22" s="169">
        <f>SUM(M22:O22)</f>
        <v>28.666623645173694</v>
      </c>
      <c r="M22" s="168">
        <f>('Pivot Table for Data Exchange'!$J$426)*100</f>
        <v>25.783154840899975</v>
      </c>
      <c r="N22" s="168">
        <f>('Pivot Table for Data Exchange'!$J$429)*100</f>
        <v>2.8834688042737175</v>
      </c>
      <c r="O22" s="176">
        <f>('Pivot Table for Data Exchange'!$J$432)*100</f>
        <v>0</v>
      </c>
      <c r="P22" s="168">
        <f>('Pivot Table for Data Exchange'!$J$435)*100</f>
        <v>0</v>
      </c>
      <c r="Q22" s="173">
        <f t="shared" si="3"/>
        <v>100</v>
      </c>
      <c r="R22" s="173">
        <f t="shared" si="2"/>
        <v>100</v>
      </c>
      <c r="S22" s="174"/>
      <c r="T22" s="155"/>
      <c r="U22" s="155"/>
      <c r="V22" s="155"/>
      <c r="W22" s="155"/>
      <c r="X22" s="155"/>
      <c r="Y22" s="155"/>
      <c r="Z22" s="155"/>
      <c r="AA22" s="155"/>
      <c r="AB22" s="155"/>
      <c r="AC22" s="155"/>
      <c r="AD22" s="155"/>
      <c r="AE22" s="155"/>
      <c r="AF22" s="155"/>
      <c r="AG22" s="174"/>
      <c r="AH22" s="174"/>
      <c r="AI22" s="174"/>
      <c r="AJ22" s="174"/>
      <c r="AK22" s="174"/>
      <c r="AL22" s="174"/>
      <c r="AM22" s="174"/>
      <c r="AN22" s="174"/>
      <c r="AO22" s="174"/>
    </row>
    <row r="23" spans="1:41" ht="9.75" customHeight="1">
      <c r="B23" s="168"/>
      <c r="C23" s="168"/>
      <c r="D23" s="169"/>
      <c r="E23" s="168"/>
      <c r="F23" s="168"/>
      <c r="G23" s="176"/>
      <c r="H23" s="168"/>
      <c r="I23" s="174"/>
      <c r="J23" s="168"/>
      <c r="K23" s="168"/>
      <c r="L23" s="169"/>
      <c r="M23" s="168"/>
      <c r="N23" s="168"/>
      <c r="O23" s="176"/>
      <c r="P23" s="168"/>
      <c r="Q23" s="173">
        <f t="shared" si="3"/>
        <v>0</v>
      </c>
      <c r="R23" s="173">
        <f t="shared" si="2"/>
        <v>0</v>
      </c>
      <c r="S23" s="174"/>
      <c r="T23" s="155"/>
      <c r="U23" s="155"/>
      <c r="V23" s="155"/>
      <c r="W23" s="155"/>
      <c r="X23" s="155"/>
      <c r="Y23" s="155"/>
      <c r="Z23" s="155"/>
      <c r="AA23" s="155"/>
      <c r="AB23" s="155"/>
      <c r="AC23" s="155"/>
      <c r="AD23" s="155"/>
      <c r="AE23" s="155"/>
      <c r="AF23" s="155"/>
      <c r="AG23" s="174"/>
      <c r="AH23" s="174"/>
      <c r="AI23" s="174"/>
      <c r="AJ23" s="174"/>
      <c r="AK23" s="174"/>
      <c r="AL23" s="174"/>
      <c r="AM23" s="174"/>
      <c r="AN23" s="174"/>
      <c r="AO23" s="174"/>
    </row>
    <row r="24" spans="1:41" ht="15.75" customHeight="1">
      <c r="A24" s="139" t="s">
        <v>630</v>
      </c>
      <c r="B24" s="168">
        <f>('Pivot Table for Data Exchange'!$J$438)*100</f>
        <v>73.629371376539126</v>
      </c>
      <c r="C24" s="168">
        <f>('Pivot Table for Data Exchange'!$J$441)*100</f>
        <v>3.1045305723290255</v>
      </c>
      <c r="D24" s="169">
        <f>SUM(E24:G24)</f>
        <v>22.613968669206905</v>
      </c>
      <c r="E24" s="168">
        <f>('Pivot Table for Data Exchange'!$J$444)*100</f>
        <v>17.069865123378865</v>
      </c>
      <c r="F24" s="168">
        <f>('Pivot Table for Data Exchange'!$J$447)*100</f>
        <v>0.45637147249555432</v>
      </c>
      <c r="G24" s="176">
        <f>('Pivot Table for Data Exchange'!$J$450)*100</f>
        <v>5.0877320733324849</v>
      </c>
      <c r="H24" s="168">
        <f>('Pivot Table for Data Exchange'!$J$453)*100</f>
        <v>0.6521293819249403</v>
      </c>
      <c r="I24" s="174" t="s">
        <v>630</v>
      </c>
      <c r="J24" s="168">
        <f>('Pivot Table for Data Exchange'!$J$456)*100</f>
        <v>52.391401742692302</v>
      </c>
      <c r="K24" s="168">
        <f>('Pivot Table for Data Exchange'!$J$459)*100</f>
        <v>3.3787140405896747</v>
      </c>
      <c r="L24" s="169">
        <f>SUM(M24:O24)</f>
        <v>40.720117764306814</v>
      </c>
      <c r="M24" s="168">
        <f>('Pivot Table for Data Exchange'!$J$462)*100</f>
        <v>37.500495256207465</v>
      </c>
      <c r="N24" s="168">
        <f>('Pivot Table for Data Exchange'!$J$465)*100</f>
        <v>0.18194951129641312</v>
      </c>
      <c r="O24" s="176">
        <f>('Pivot Table for Data Exchange'!$J$468)*100</f>
        <v>3.0376729968029306</v>
      </c>
      <c r="P24" s="168">
        <f>('Pivot Table for Data Exchange'!$J$471)*100</f>
        <v>3.5097664524112124</v>
      </c>
      <c r="Q24" s="173">
        <f t="shared" si="3"/>
        <v>100</v>
      </c>
      <c r="R24" s="173">
        <f t="shared" si="2"/>
        <v>100</v>
      </c>
      <c r="S24" s="174"/>
      <c r="T24" s="155"/>
      <c r="U24" s="155"/>
      <c r="V24" s="155"/>
      <c r="W24" s="155"/>
      <c r="X24" s="155"/>
      <c r="Y24" s="155"/>
      <c r="Z24" s="155"/>
      <c r="AA24" s="155"/>
      <c r="AB24" s="155"/>
      <c r="AC24" s="155"/>
      <c r="AD24" s="155"/>
      <c r="AE24" s="155"/>
      <c r="AF24" s="155"/>
      <c r="AG24" s="174"/>
      <c r="AH24" s="174"/>
      <c r="AI24" s="174"/>
      <c r="AJ24" s="174"/>
      <c r="AK24" s="174"/>
      <c r="AL24" s="174"/>
      <c r="AM24" s="174"/>
      <c r="AN24" s="174"/>
      <c r="AO24" s="174"/>
    </row>
    <row r="25" spans="1:41" ht="15.75" customHeight="1">
      <c r="A25" s="139" t="s">
        <v>631</v>
      </c>
      <c r="B25" s="168">
        <f>('Pivot Table for Data Exchange'!$J$474)*100</f>
        <v>0</v>
      </c>
      <c r="C25" s="168">
        <f>('Pivot Table for Data Exchange'!$J$477)*100</f>
        <v>0</v>
      </c>
      <c r="D25" s="169">
        <f>SUM(E25:G25)</f>
        <v>0</v>
      </c>
      <c r="E25" s="168">
        <f>('Pivot Table for Data Exchange'!$J$480)*100</f>
        <v>0</v>
      </c>
      <c r="F25" s="168">
        <f>('Pivot Table for Data Exchange'!$J$483)*100</f>
        <v>0</v>
      </c>
      <c r="G25" s="176">
        <f>('Pivot Table for Data Exchange'!$J$486)*100</f>
        <v>0</v>
      </c>
      <c r="H25" s="168">
        <f>('Pivot Table for Data Exchange'!$J$489)*100</f>
        <v>0</v>
      </c>
      <c r="I25" s="174" t="s">
        <v>631</v>
      </c>
      <c r="J25" s="168">
        <f>('Pivot Table for Data Exchange'!$J$492)*100</f>
        <v>0</v>
      </c>
      <c r="K25" s="168">
        <f>('Pivot Table for Data Exchange'!$J$495)*100</f>
        <v>0</v>
      </c>
      <c r="L25" s="169">
        <f>SUM(M25:O25)</f>
        <v>0</v>
      </c>
      <c r="M25" s="168">
        <f>('Pivot Table for Data Exchange'!$J$498)*100</f>
        <v>0</v>
      </c>
      <c r="N25" s="168">
        <f>('Pivot Table for Data Exchange'!$J$501)*100</f>
        <v>0</v>
      </c>
      <c r="O25" s="176">
        <f>('Pivot Table for Data Exchange'!$J$504)*100</f>
        <v>0</v>
      </c>
      <c r="P25" s="168">
        <f>('Pivot Table for Data Exchange'!$J$507)*100</f>
        <v>0</v>
      </c>
      <c r="Q25" s="173">
        <f t="shared" si="3"/>
        <v>0</v>
      </c>
      <c r="R25" s="173">
        <f t="shared" si="2"/>
        <v>0</v>
      </c>
      <c r="S25" s="174"/>
      <c r="T25" s="155"/>
      <c r="U25" s="155"/>
      <c r="V25" s="155"/>
      <c r="W25" s="155"/>
      <c r="X25" s="155"/>
      <c r="Y25" s="155"/>
      <c r="Z25" s="155"/>
      <c r="AA25" s="155"/>
      <c r="AB25" s="155"/>
      <c r="AC25" s="155"/>
      <c r="AD25" s="155"/>
      <c r="AE25" s="155"/>
      <c r="AF25" s="155"/>
      <c r="AG25" s="174"/>
      <c r="AH25" s="174"/>
      <c r="AI25" s="174"/>
      <c r="AJ25" s="174"/>
      <c r="AK25" s="174"/>
      <c r="AL25" s="174"/>
      <c r="AM25" s="174"/>
      <c r="AN25" s="174"/>
      <c r="AO25" s="174"/>
    </row>
    <row r="26" spans="1:41" ht="15.75" customHeight="1">
      <c r="A26" s="139" t="s">
        <v>632</v>
      </c>
      <c r="B26" s="168">
        <f>('Pivot Table for Data Exchange'!$J$510)*100</f>
        <v>88.156824593173013</v>
      </c>
      <c r="C26" s="168">
        <f>('Pivot Table for Data Exchange'!$J$513)*100</f>
        <v>1.5288349742064971</v>
      </c>
      <c r="D26" s="169">
        <f t="shared" si="0"/>
        <v>10.314340432620485</v>
      </c>
      <c r="E26" s="168">
        <f>('Pivot Table for Data Exchange'!$J$516)*100</f>
        <v>9.7845139946320536</v>
      </c>
      <c r="F26" s="168">
        <f>('Pivot Table for Data Exchange'!$J$519)*100</f>
        <v>0.52881832009896335</v>
      </c>
      <c r="G26" s="176">
        <f>('Pivot Table for Data Exchange'!$J$522)*100</f>
        <v>1.008117889467293E-3</v>
      </c>
      <c r="H26" s="168">
        <f>('Pivot Table for Data Exchange'!$J$525)*100</f>
        <v>0</v>
      </c>
      <c r="I26" s="174" t="s">
        <v>632</v>
      </c>
      <c r="J26" s="168">
        <f>('Pivot Table for Data Exchange'!$J$528)*100</f>
        <v>74.189393376150264</v>
      </c>
      <c r="K26" s="168">
        <f>('Pivot Table for Data Exchange'!$J$531)*100</f>
        <v>7.369390287841787</v>
      </c>
      <c r="L26" s="169">
        <f t="shared" si="1"/>
        <v>18.441216336007958</v>
      </c>
      <c r="M26" s="168">
        <f>('Pivot Table for Data Exchange'!$J$534)*100</f>
        <v>15.0026136240156</v>
      </c>
      <c r="N26" s="168">
        <f>('Pivot Table for Data Exchange'!$J$537)*100</f>
        <v>3.2257381915094392</v>
      </c>
      <c r="O26" s="176">
        <f>('Pivot Table for Data Exchange'!$J$540)*100</f>
        <v>0.21286452048291993</v>
      </c>
      <c r="P26" s="168">
        <f>('Pivot Table for Data Exchange'!$J$543)*100</f>
        <v>0</v>
      </c>
      <c r="Q26" s="173">
        <f t="shared" si="3"/>
        <v>100</v>
      </c>
      <c r="R26" s="173">
        <f t="shared" si="2"/>
        <v>100</v>
      </c>
      <c r="S26" s="174"/>
      <c r="T26" s="155"/>
      <c r="U26" s="155"/>
      <c r="V26" s="155"/>
      <c r="W26" s="155"/>
      <c r="X26" s="155"/>
      <c r="Y26" s="155"/>
      <c r="Z26" s="155"/>
      <c r="AA26" s="155"/>
      <c r="AB26" s="155"/>
      <c r="AC26" s="155"/>
      <c r="AD26" s="155"/>
      <c r="AE26" s="155"/>
      <c r="AF26" s="155"/>
      <c r="AG26" s="174"/>
      <c r="AH26" s="174"/>
      <c r="AI26" s="174"/>
      <c r="AJ26" s="174"/>
      <c r="AK26" s="174"/>
      <c r="AL26" s="174"/>
      <c r="AM26" s="174"/>
      <c r="AN26" s="174"/>
      <c r="AO26" s="174"/>
    </row>
    <row r="27" spans="1:41" ht="15.75" customHeight="1">
      <c r="A27" s="145" t="s">
        <v>633</v>
      </c>
      <c r="B27" s="181">
        <f>('Pivot Table for Data Exchange'!$J$546)*100</f>
        <v>77.320973591010585</v>
      </c>
      <c r="C27" s="181">
        <f>('Pivot Table for Data Exchange'!$J$549)*100</f>
        <v>4.8794675181851508</v>
      </c>
      <c r="D27" s="182">
        <f>SUM(E27:G27)</f>
        <v>17.799558890804267</v>
      </c>
      <c r="E27" s="181">
        <f>('Pivot Table for Data Exchange'!$J$552)*100</f>
        <v>17.231812577065352</v>
      </c>
      <c r="F27" s="181">
        <f>('Pivot Table for Data Exchange'!$J$555)*100</f>
        <v>0.39642265289614242</v>
      </c>
      <c r="G27" s="183">
        <f>('Pivot Table for Data Exchange'!$J$558)*100</f>
        <v>0.17132366084277303</v>
      </c>
      <c r="H27" s="181">
        <f>('Pivot Table for Data Exchange'!$J$561)*100</f>
        <v>0</v>
      </c>
      <c r="I27" s="184" t="s">
        <v>633</v>
      </c>
      <c r="J27" s="181">
        <f>('Pivot Table for Data Exchange'!$J$564)*100</f>
        <v>57.380653444759432</v>
      </c>
      <c r="K27" s="181">
        <f>('Pivot Table for Data Exchange'!$J$567)*100</f>
        <v>8.2223143829429439</v>
      </c>
      <c r="L27" s="182">
        <f>SUM(M27:O27)</f>
        <v>34.397032172297614</v>
      </c>
      <c r="M27" s="181">
        <f>('Pivot Table for Data Exchange'!$J$570)*100</f>
        <v>33.593718931263879</v>
      </c>
      <c r="N27" s="181">
        <f>('Pivot Table for Data Exchange'!$J$573)*100</f>
        <v>0.5391402162242005</v>
      </c>
      <c r="O27" s="183">
        <f>('Pivot Table for Data Exchange'!$J$576)*100</f>
        <v>0.26417302480953975</v>
      </c>
      <c r="P27" s="181">
        <f>('Pivot Table for Data Exchange'!$J$579)*100</f>
        <v>0</v>
      </c>
      <c r="Q27" s="173">
        <f t="shared" si="3"/>
        <v>100</v>
      </c>
      <c r="R27" s="173">
        <f t="shared" si="2"/>
        <v>99.999999999999986</v>
      </c>
      <c r="S27" s="174"/>
      <c r="T27" s="155"/>
      <c r="U27" s="155"/>
      <c r="V27" s="155"/>
      <c r="W27" s="155"/>
      <c r="X27" s="155"/>
      <c r="Y27" s="155"/>
      <c r="Z27" s="155"/>
      <c r="AA27" s="155"/>
      <c r="AB27" s="155"/>
      <c r="AC27" s="155"/>
      <c r="AD27" s="155"/>
      <c r="AE27" s="155"/>
      <c r="AF27" s="155"/>
      <c r="AG27" s="174"/>
      <c r="AH27" s="174"/>
      <c r="AI27" s="174"/>
      <c r="AJ27" s="174"/>
      <c r="AK27" s="174"/>
      <c r="AL27" s="174"/>
      <c r="AM27" s="174"/>
      <c r="AN27" s="174"/>
      <c r="AO27" s="174"/>
    </row>
    <row r="28" spans="1:41" s="186" customFormat="1" ht="32.5" customHeight="1">
      <c r="A28" s="502" t="s">
        <v>763</v>
      </c>
      <c r="B28" s="503"/>
      <c r="C28" s="503"/>
      <c r="D28" s="503"/>
      <c r="E28" s="503"/>
      <c r="F28" s="503"/>
      <c r="G28" s="503"/>
      <c r="H28" s="503"/>
      <c r="I28" s="502" t="s">
        <v>763</v>
      </c>
      <c r="J28" s="503"/>
      <c r="K28" s="503"/>
      <c r="L28" s="503"/>
      <c r="M28" s="503"/>
      <c r="N28" s="503"/>
      <c r="O28" s="503"/>
      <c r="P28" s="503"/>
      <c r="Q28" s="173"/>
      <c r="R28" s="173"/>
    </row>
    <row r="29" spans="1:41" s="186" customFormat="1" ht="13.5" customHeight="1">
      <c r="A29" s="187" t="s">
        <v>652</v>
      </c>
      <c r="B29" s="188"/>
      <c r="C29" s="188"/>
      <c r="D29" s="189"/>
      <c r="E29" s="188"/>
      <c r="F29" s="189"/>
      <c r="G29" s="189"/>
      <c r="H29" s="188"/>
      <c r="I29" s="187" t="s">
        <v>652</v>
      </c>
      <c r="J29" s="188"/>
      <c r="K29" s="188"/>
      <c r="L29" s="189"/>
      <c r="M29" s="188"/>
      <c r="N29" s="189"/>
      <c r="O29" s="189"/>
      <c r="P29" s="188"/>
      <c r="Q29" s="173"/>
      <c r="R29" s="173"/>
      <c r="S29" s="190"/>
      <c r="T29" s="155"/>
      <c r="U29" s="155"/>
      <c r="V29" s="155"/>
      <c r="W29" s="155"/>
      <c r="X29" s="155"/>
      <c r="Y29" s="155"/>
      <c r="Z29" s="155"/>
      <c r="AA29" s="155"/>
      <c r="AB29" s="155"/>
      <c r="AC29" s="155"/>
      <c r="AD29" s="155"/>
      <c r="AE29" s="155"/>
      <c r="AF29" s="155"/>
      <c r="AG29" s="190"/>
      <c r="AH29" s="190"/>
      <c r="AI29" s="190"/>
      <c r="AJ29" s="190"/>
      <c r="AK29" s="190"/>
      <c r="AL29" s="190"/>
      <c r="AM29" s="190"/>
      <c r="AN29" s="190"/>
      <c r="AO29" s="190"/>
    </row>
    <row r="30" spans="1:41" s="186" customFormat="1" ht="23.25" customHeight="1">
      <c r="A30" s="492" t="s">
        <v>653</v>
      </c>
      <c r="B30" s="493"/>
      <c r="C30" s="493"/>
      <c r="D30" s="493"/>
      <c r="E30" s="493"/>
      <c r="F30" s="493"/>
      <c r="G30" s="493"/>
      <c r="H30" s="493"/>
      <c r="I30" s="492" t="s">
        <v>653</v>
      </c>
      <c r="J30" s="493"/>
      <c r="K30" s="493"/>
      <c r="L30" s="493"/>
      <c r="M30" s="493"/>
      <c r="N30" s="493"/>
      <c r="O30" s="493"/>
      <c r="P30" s="493"/>
      <c r="Q30" s="173"/>
      <c r="R30" s="173"/>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row>
    <row r="31" spans="1:41" s="186" customFormat="1" ht="13.5" customHeight="1">
      <c r="A31" s="185"/>
      <c r="B31" s="59"/>
      <c r="C31" s="59"/>
      <c r="D31" s="67"/>
      <c r="E31" s="59"/>
      <c r="F31" s="59"/>
      <c r="G31" s="59"/>
      <c r="H31" s="59"/>
      <c r="I31" s="185"/>
      <c r="J31" s="59"/>
      <c r="K31" s="59"/>
      <c r="L31" s="67"/>
      <c r="M31" s="59"/>
      <c r="N31" s="59"/>
      <c r="O31" s="59"/>
      <c r="P31" s="59"/>
      <c r="Q31" s="173"/>
      <c r="R31" s="173"/>
    </row>
    <row r="32" spans="1:41">
      <c r="H32" s="192" t="s">
        <v>923</v>
      </c>
      <c r="I32" s="139"/>
      <c r="P32" s="192" t="s">
        <v>923</v>
      </c>
      <c r="Q32" s="173"/>
      <c r="R32" s="173"/>
    </row>
    <row r="33" spans="1:41" ht="18">
      <c r="A33" s="134" t="s">
        <v>654</v>
      </c>
      <c r="B33" s="135"/>
      <c r="C33" s="135"/>
      <c r="D33" s="135"/>
      <c r="E33" s="135"/>
      <c r="F33" s="135"/>
      <c r="G33" s="135"/>
      <c r="H33" s="135"/>
      <c r="I33" s="134" t="s">
        <v>655</v>
      </c>
      <c r="J33" s="136"/>
      <c r="K33" s="136"/>
      <c r="L33" s="135"/>
      <c r="M33" s="136"/>
      <c r="N33" s="136"/>
      <c r="O33" s="136"/>
      <c r="P33" s="136"/>
      <c r="Q33" s="173"/>
      <c r="R33" s="173"/>
    </row>
    <row r="34" spans="1:41" ht="13">
      <c r="A34" s="140"/>
      <c r="B34" s="136"/>
      <c r="C34" s="136"/>
      <c r="D34" s="136"/>
      <c r="E34" s="136"/>
      <c r="F34" s="136"/>
      <c r="G34" s="136"/>
      <c r="H34" s="136"/>
      <c r="I34" s="140"/>
      <c r="J34" s="136"/>
      <c r="K34" s="136"/>
      <c r="L34" s="136"/>
      <c r="M34" s="136"/>
      <c r="N34" s="136"/>
      <c r="O34" s="136"/>
      <c r="P34" s="136"/>
      <c r="Q34" s="173"/>
      <c r="R34" s="173"/>
    </row>
    <row r="35" spans="1:41" ht="15.5">
      <c r="A35" s="142" t="s">
        <v>639</v>
      </c>
      <c r="B35" s="136"/>
      <c r="C35" s="136"/>
      <c r="D35" s="136"/>
      <c r="E35" s="136"/>
      <c r="F35" s="136"/>
      <c r="G35" s="136"/>
      <c r="H35" s="136"/>
      <c r="I35" s="142" t="s">
        <v>640</v>
      </c>
      <c r="J35" s="136"/>
      <c r="K35" s="136"/>
      <c r="L35" s="136"/>
      <c r="M35" s="136"/>
      <c r="N35" s="136"/>
      <c r="O35" s="136"/>
      <c r="P35" s="136"/>
      <c r="Q35" s="173"/>
      <c r="R35" s="173"/>
    </row>
    <row r="36" spans="1:41" ht="15.5">
      <c r="A36" s="142" t="s">
        <v>747</v>
      </c>
      <c r="B36" s="136"/>
      <c r="C36" s="136"/>
      <c r="D36" s="136"/>
      <c r="E36" s="136"/>
      <c r="F36" s="136"/>
      <c r="G36" s="136"/>
      <c r="H36" s="136"/>
      <c r="I36" s="142" t="s">
        <v>747</v>
      </c>
      <c r="J36" s="136"/>
      <c r="K36" s="136"/>
      <c r="L36" s="136"/>
      <c r="M36" s="136"/>
      <c r="N36" s="136"/>
      <c r="O36" s="136"/>
      <c r="P36" s="136"/>
      <c r="Q36" s="173"/>
      <c r="R36" s="173"/>
    </row>
    <row r="37" spans="1:41">
      <c r="A37" s="145"/>
      <c r="B37" s="146"/>
      <c r="C37" s="146"/>
      <c r="D37" s="146"/>
      <c r="E37" s="146"/>
      <c r="F37" s="146"/>
      <c r="G37" s="146"/>
      <c r="H37" s="146"/>
      <c r="I37" s="147"/>
      <c r="L37" s="148"/>
      <c r="P37" s="145"/>
      <c r="Q37" s="173"/>
      <c r="R37" s="173"/>
    </row>
    <row r="38" spans="1:41" s="155" customFormat="1">
      <c r="A38" s="150"/>
      <c r="B38" s="151" t="s">
        <v>641</v>
      </c>
      <c r="C38" s="151"/>
      <c r="D38" s="151"/>
      <c r="E38" s="151"/>
      <c r="F38" s="151"/>
      <c r="G38" s="151"/>
      <c r="H38" s="152"/>
      <c r="I38" s="150"/>
      <c r="J38" s="151" t="s">
        <v>641</v>
      </c>
      <c r="K38" s="151"/>
      <c r="L38" s="151"/>
      <c r="M38" s="151"/>
      <c r="N38" s="151"/>
      <c r="O38" s="151"/>
      <c r="P38" s="152"/>
      <c r="Q38" s="173"/>
      <c r="R38" s="173"/>
    </row>
    <row r="39" spans="1:41" s="155" customFormat="1">
      <c r="A39" s="150"/>
      <c r="B39" s="151" t="s">
        <v>642</v>
      </c>
      <c r="C39" s="151"/>
      <c r="D39" s="487" t="s">
        <v>643</v>
      </c>
      <c r="E39" s="485"/>
      <c r="F39" s="485"/>
      <c r="G39" s="485"/>
      <c r="H39" s="158" t="s">
        <v>533</v>
      </c>
      <c r="I39" s="150"/>
      <c r="J39" s="151" t="s">
        <v>642</v>
      </c>
      <c r="K39" s="151"/>
      <c r="L39" s="487" t="s">
        <v>643</v>
      </c>
      <c r="M39" s="485"/>
      <c r="N39" s="485"/>
      <c r="O39" s="485"/>
      <c r="P39" s="158" t="s">
        <v>533</v>
      </c>
      <c r="Q39" s="173"/>
      <c r="R39" s="173"/>
    </row>
    <row r="40" spans="1:41" s="155" customFormat="1" ht="40.5" customHeight="1">
      <c r="A40" s="150"/>
      <c r="B40" s="159" t="s">
        <v>644</v>
      </c>
      <c r="C40" s="160" t="s">
        <v>645</v>
      </c>
      <c r="D40" s="161" t="s">
        <v>646</v>
      </c>
      <c r="E40" s="162" t="s">
        <v>8</v>
      </c>
      <c r="F40" s="159" t="s">
        <v>647</v>
      </c>
      <c r="G40" s="163" t="s">
        <v>656</v>
      </c>
      <c r="H40" s="164" t="s">
        <v>649</v>
      </c>
      <c r="I40" s="150"/>
      <c r="J40" s="159" t="s">
        <v>644</v>
      </c>
      <c r="K40" s="160" t="s">
        <v>645</v>
      </c>
      <c r="L40" s="161" t="s">
        <v>646</v>
      </c>
      <c r="M40" s="162" t="s">
        <v>8</v>
      </c>
      <c r="N40" s="159" t="s">
        <v>647</v>
      </c>
      <c r="O40" s="163" t="s">
        <v>656</v>
      </c>
      <c r="P40" s="164" t="s">
        <v>649</v>
      </c>
      <c r="Q40" s="173"/>
      <c r="R40" s="173"/>
      <c r="T40" s="193"/>
    </row>
    <row r="41" spans="1:41" ht="15.75" customHeight="1">
      <c r="A41" s="194" t="s">
        <v>618</v>
      </c>
      <c r="B41" s="168">
        <f>('Pivot Table for Data Exchange'!$C$6)*100</f>
        <v>83.966533582711619</v>
      </c>
      <c r="C41" s="180">
        <f>('Pivot Table for Data Exchange'!$C$9)*100</f>
        <v>1.1806281515383537</v>
      </c>
      <c r="D41" s="169">
        <f>SUM(E41:G41)</f>
        <v>14.852838265750027</v>
      </c>
      <c r="E41" s="168">
        <f>('Pivot Table for Data Exchange'!$C$12)*100</f>
        <v>14.778095722142186</v>
      </c>
      <c r="F41" s="180">
        <f>('Pivot Table for Data Exchange'!$C$15)*100</f>
        <v>7.4742543607840314E-2</v>
      </c>
      <c r="G41" s="172">
        <f>('Pivot Table for Data Exchange'!$C$18)*100</f>
        <v>0</v>
      </c>
      <c r="H41" s="168">
        <f>('Pivot Table for Data Exchange'!$C$21)*100</f>
        <v>0</v>
      </c>
      <c r="I41" s="171" t="s">
        <v>618</v>
      </c>
      <c r="J41" s="168">
        <f>('Pivot Table for Data Exchange'!$C$24)*100</f>
        <v>68.825207137105565</v>
      </c>
      <c r="K41" s="168">
        <f>('Pivot Table for Data Exchange'!$C$27)*100</f>
        <v>5.035256579095897</v>
      </c>
      <c r="L41" s="169">
        <f>SUM(M41:O41)</f>
        <v>26.139536283798527</v>
      </c>
      <c r="M41" s="168">
        <f>('Pivot Table for Data Exchange'!$C$30)*100</f>
        <v>25.964570336310889</v>
      </c>
      <c r="N41" s="168">
        <f>('Pivot Table for Data Exchange'!$C$33)*100</f>
        <v>0.17496594748763952</v>
      </c>
      <c r="O41" s="172">
        <f>('Pivot Table for Data Exchange'!$C$36)*100</f>
        <v>0</v>
      </c>
      <c r="P41" s="168">
        <f>('Pivot Table for Data Exchange'!$C$39)*100</f>
        <v>0</v>
      </c>
      <c r="Q41" s="173">
        <f t="shared" si="3"/>
        <v>100</v>
      </c>
      <c r="R41" s="173">
        <f t="shared" si="2"/>
        <v>100</v>
      </c>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row>
    <row r="42" spans="1:41" ht="15.75" customHeight="1">
      <c r="A42" s="139" t="s">
        <v>619</v>
      </c>
      <c r="B42" s="168">
        <f>('Pivot Table for Data Exchange'!$C$42)*100</f>
        <v>88.51174155744576</v>
      </c>
      <c r="C42" s="168">
        <f>('Pivot Table for Data Exchange'!$C$45)*100</f>
        <v>1.3621161356536995</v>
      </c>
      <c r="D42" s="169">
        <f t="shared" ref="D42:D44" si="4">SUM(E42:G42)</f>
        <v>9.7309779608982723</v>
      </c>
      <c r="E42" s="168">
        <f>('Pivot Table for Data Exchange'!$C$48)*100</f>
        <v>9.6534070058506405</v>
      </c>
      <c r="F42" s="168">
        <f>('Pivot Table for Data Exchange'!$C$51)*100</f>
        <v>7.7570955047631548E-2</v>
      </c>
      <c r="G42" s="179">
        <f>('Pivot Table for Data Exchange'!$C$54)*100</f>
        <v>0</v>
      </c>
      <c r="H42" s="168">
        <f>('Pivot Table for Data Exchange'!$C$57)*100</f>
        <v>0.39516434600226147</v>
      </c>
      <c r="I42" s="174" t="s">
        <v>619</v>
      </c>
      <c r="J42" s="168">
        <f>('Pivot Table for Data Exchange'!$C$60)*100</f>
        <v>66.558841247806384</v>
      </c>
      <c r="K42" s="168">
        <f>('Pivot Table for Data Exchange'!$C$63)*100</f>
        <v>0.74517404856072711</v>
      </c>
      <c r="L42" s="169">
        <f t="shared" ref="L42:L44" si="5">SUM(M42:O42)</f>
        <v>32.695984703632888</v>
      </c>
      <c r="M42" s="168">
        <f>('Pivot Table for Data Exchange'!$C$66)*100</f>
        <v>32.64883836664135</v>
      </c>
      <c r="N42" s="168">
        <f>('Pivot Table for Data Exchange'!$C$69)*100</f>
        <v>4.7146336991539854E-2</v>
      </c>
      <c r="O42" s="176">
        <f>('Pivot Table for Data Exchange'!$C$72)*100</f>
        <v>0</v>
      </c>
      <c r="P42" s="180">
        <f>('Pivot Table for Data Exchange'!$C$75)*100</f>
        <v>0</v>
      </c>
      <c r="Q42" s="173">
        <f t="shared" si="3"/>
        <v>99.999999999999986</v>
      </c>
      <c r="R42" s="173">
        <f t="shared" si="2"/>
        <v>100</v>
      </c>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row>
    <row r="43" spans="1:41" ht="15.75" customHeight="1">
      <c r="A43" s="139" t="s">
        <v>620</v>
      </c>
      <c r="B43" s="168">
        <f>('Pivot Table for Data Exchange'!$C$78)*100</f>
        <v>95.831240582621803</v>
      </c>
      <c r="C43" s="168">
        <f>('Pivot Table for Data Exchange'!$C$81)*100</f>
        <v>0</v>
      </c>
      <c r="D43" s="169">
        <f t="shared" si="4"/>
        <v>4.1687594173782019</v>
      </c>
      <c r="E43" s="168">
        <f>('Pivot Table for Data Exchange'!$C$84)*100</f>
        <v>4.1687594173782019</v>
      </c>
      <c r="F43" s="168">
        <f>('Pivot Table for Data Exchange'!$C$87)*100</f>
        <v>0</v>
      </c>
      <c r="G43" s="176">
        <f>('Pivot Table for Data Exchange'!$C$90)*100</f>
        <v>0</v>
      </c>
      <c r="H43" s="168">
        <f>('Pivot Table for Data Exchange'!$C$93)*100</f>
        <v>0</v>
      </c>
      <c r="I43" s="174" t="s">
        <v>620</v>
      </c>
      <c r="J43" s="168">
        <f>('Pivot Table for Data Exchange'!$C$96)*100</f>
        <v>85.115691489361694</v>
      </c>
      <c r="K43" s="168">
        <f>('Pivot Table for Data Exchange'!$C$99)*100</f>
        <v>0</v>
      </c>
      <c r="L43" s="169">
        <f t="shared" si="5"/>
        <v>14.884308510638297</v>
      </c>
      <c r="M43" s="168">
        <f>('Pivot Table for Data Exchange'!$C$102)*100</f>
        <v>14.884308510638297</v>
      </c>
      <c r="N43" s="168">
        <f>('Pivot Table for Data Exchange'!$C$105)*100</f>
        <v>0</v>
      </c>
      <c r="O43" s="176">
        <f>('Pivot Table for Data Exchange'!$C$108)*100</f>
        <v>0</v>
      </c>
      <c r="P43" s="168">
        <f>('Pivot Table for Data Exchange'!$C$111)*100</f>
        <v>0</v>
      </c>
      <c r="Q43" s="173">
        <f t="shared" si="3"/>
        <v>100</v>
      </c>
      <c r="R43" s="173">
        <f t="shared" si="2"/>
        <v>99.999999999999986</v>
      </c>
      <c r="S43" s="174"/>
      <c r="T43" s="148"/>
      <c r="U43" s="174"/>
      <c r="V43" s="174"/>
      <c r="W43" s="174"/>
      <c r="X43" s="174"/>
      <c r="Y43" s="174"/>
      <c r="Z43" s="174"/>
      <c r="AA43" s="174"/>
      <c r="AB43" s="174"/>
      <c r="AC43" s="174"/>
      <c r="AD43" s="174"/>
      <c r="AE43" s="174"/>
      <c r="AF43" s="174"/>
      <c r="AG43" s="174"/>
      <c r="AH43" s="174"/>
      <c r="AI43" s="174"/>
      <c r="AJ43" s="174"/>
      <c r="AK43" s="174"/>
      <c r="AL43" s="174"/>
      <c r="AM43" s="174"/>
      <c r="AN43" s="174"/>
      <c r="AO43" s="174"/>
    </row>
    <row r="44" spans="1:41" ht="15.75" customHeight="1">
      <c r="A44" s="139" t="s">
        <v>657</v>
      </c>
      <c r="B44" s="168">
        <f>('Pivot Table for Data Exchange'!$C$114)*100</f>
        <v>0</v>
      </c>
      <c r="C44" s="168">
        <f>('Pivot Table for Data Exchange'!$C$117)*100</f>
        <v>0</v>
      </c>
      <c r="D44" s="169">
        <f t="shared" si="4"/>
        <v>0</v>
      </c>
      <c r="E44" s="168">
        <f>('Pivot Table for Data Exchange'!$C$120)*100</f>
        <v>0</v>
      </c>
      <c r="F44" s="168">
        <f>('Pivot Table for Data Exchange'!$C$123)*100</f>
        <v>0</v>
      </c>
      <c r="G44" s="179">
        <f>('Pivot Table for Data Exchange'!$C$126)*100</f>
        <v>0</v>
      </c>
      <c r="H44" s="168">
        <f>('Pivot Table for Data Exchange'!$C$129)*100</f>
        <v>0</v>
      </c>
      <c r="I44" s="174" t="s">
        <v>657</v>
      </c>
      <c r="J44" s="168">
        <f>('Pivot Table for Data Exchange'!$C$132)*100</f>
        <v>0</v>
      </c>
      <c r="K44" s="168">
        <f>('Pivot Table for Data Exchange'!$C$135)*100</f>
        <v>0</v>
      </c>
      <c r="L44" s="169">
        <f t="shared" si="5"/>
        <v>0</v>
      </c>
      <c r="M44" s="168">
        <f>('Pivot Table for Data Exchange'!$C$138)*100</f>
        <v>0</v>
      </c>
      <c r="N44" s="168">
        <f>('Pivot Table for Data Exchange'!$C$141)*100</f>
        <v>0</v>
      </c>
      <c r="O44" s="175">
        <f>('Pivot Table for Data Exchange'!$C$144)*100</f>
        <v>0</v>
      </c>
      <c r="P44" s="168">
        <f>('Pivot Table for Data Exchange'!$C$147)*100</f>
        <v>0</v>
      </c>
      <c r="Q44" s="173">
        <f t="shared" si="3"/>
        <v>0</v>
      </c>
      <c r="R44" s="173">
        <f t="shared" si="2"/>
        <v>0</v>
      </c>
      <c r="S44" s="174"/>
      <c r="U44" s="174"/>
      <c r="V44" s="174"/>
      <c r="W44" s="174"/>
      <c r="X44" s="174"/>
      <c r="Y44" s="174"/>
      <c r="Z44" s="174"/>
      <c r="AA44" s="174"/>
      <c r="AB44" s="174"/>
      <c r="AC44" s="174"/>
      <c r="AD44" s="174"/>
      <c r="AE44" s="174"/>
      <c r="AF44" s="174"/>
      <c r="AG44" s="174"/>
      <c r="AH44" s="174"/>
      <c r="AI44" s="174"/>
      <c r="AJ44" s="174"/>
      <c r="AK44" s="174"/>
      <c r="AL44" s="174"/>
      <c r="AM44" s="174"/>
      <c r="AN44" s="174"/>
      <c r="AO44" s="174"/>
    </row>
    <row r="45" spans="1:41" ht="10.5" customHeight="1">
      <c r="B45" s="168"/>
      <c r="C45" s="168"/>
      <c r="D45" s="169"/>
      <c r="E45" s="168"/>
      <c r="F45" s="168"/>
      <c r="G45" s="176"/>
      <c r="H45" s="168"/>
      <c r="I45" s="174"/>
      <c r="J45" s="168"/>
      <c r="K45" s="168"/>
      <c r="L45" s="169"/>
      <c r="M45" s="168"/>
      <c r="N45" s="168"/>
      <c r="O45" s="176"/>
      <c r="P45" s="168"/>
      <c r="Q45" s="173">
        <f t="shared" si="3"/>
        <v>0</v>
      </c>
      <c r="R45" s="173">
        <f t="shared" si="2"/>
        <v>0</v>
      </c>
      <c r="S45" s="174"/>
      <c r="U45" s="174"/>
      <c r="V45" s="174"/>
      <c r="W45" s="174"/>
      <c r="X45" s="174"/>
      <c r="Y45" s="174"/>
      <c r="Z45" s="174"/>
      <c r="AA45" s="174"/>
      <c r="AB45" s="174"/>
      <c r="AC45" s="174"/>
      <c r="AD45" s="174"/>
      <c r="AE45" s="174"/>
      <c r="AF45" s="174"/>
      <c r="AG45" s="174"/>
      <c r="AH45" s="174"/>
      <c r="AI45" s="174"/>
      <c r="AJ45" s="174"/>
      <c r="AK45" s="174"/>
      <c r="AL45" s="174"/>
      <c r="AM45" s="174"/>
      <c r="AN45" s="174"/>
      <c r="AO45" s="174"/>
    </row>
    <row r="46" spans="1:41" ht="15.75" customHeight="1">
      <c r="A46" s="139" t="s">
        <v>622</v>
      </c>
      <c r="B46" s="168">
        <f>('Pivot Table for Data Exchange'!$C$150)*100</f>
        <v>83.881609911783613</v>
      </c>
      <c r="C46" s="168">
        <f>('Pivot Table for Data Exchange'!$C$153)*100</f>
        <v>1.8553877587014962</v>
      </c>
      <c r="D46" s="169">
        <f t="shared" ref="D46:D49" si="6">SUM(E46:G46)</f>
        <v>14.263002329514885</v>
      </c>
      <c r="E46" s="168">
        <f>('Pivot Table for Data Exchange'!$C$156)*100</f>
        <v>14.263002329514885</v>
      </c>
      <c r="F46" s="168">
        <f>('Pivot Table for Data Exchange'!$C$159)*100</f>
        <v>0</v>
      </c>
      <c r="G46" s="176">
        <f>('Pivot Table for Data Exchange'!$C$162)*100</f>
        <v>0</v>
      </c>
      <c r="H46" s="168">
        <f>('Pivot Table for Data Exchange'!$C$165)*100</f>
        <v>0</v>
      </c>
      <c r="I46" s="174" t="s">
        <v>622</v>
      </c>
      <c r="J46" s="168">
        <f>('Pivot Table for Data Exchange'!$C$168)*100</f>
        <v>68.063939217201778</v>
      </c>
      <c r="K46" s="168">
        <f>('Pivot Table for Data Exchange'!$C$171)*100</f>
        <v>25.005709846541453</v>
      </c>
      <c r="L46" s="169">
        <f t="shared" ref="L46:L49" si="7">SUM(M46:O46)</f>
        <v>6.930350936256775</v>
      </c>
      <c r="M46" s="168">
        <f>('Pivot Table for Data Exchange'!$C$174)*100</f>
        <v>6.930350936256775</v>
      </c>
      <c r="N46" s="168">
        <f>('Pivot Table for Data Exchange'!$C$177)*100</f>
        <v>0</v>
      </c>
      <c r="O46" s="176">
        <f>('Pivot Table for Data Exchange'!$C$180)*100</f>
        <v>0</v>
      </c>
      <c r="P46" s="168">
        <f>('Pivot Table for Data Exchange'!$C$183)*100</f>
        <v>0</v>
      </c>
      <c r="Q46" s="173">
        <f t="shared" si="3"/>
        <v>100</v>
      </c>
      <c r="R46" s="173">
        <f t="shared" si="2"/>
        <v>100</v>
      </c>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row>
    <row r="47" spans="1:41" ht="15.75" customHeight="1">
      <c r="A47" s="139" t="s">
        <v>623</v>
      </c>
      <c r="B47" s="168">
        <f>('Pivot Table for Data Exchange'!$C$186)*100</f>
        <v>86.115518791996294</v>
      </c>
      <c r="C47" s="168">
        <f>('Pivot Table for Data Exchange'!$C$189)*100</f>
        <v>2.0379716138986113</v>
      </c>
      <c r="D47" s="169">
        <f t="shared" si="6"/>
        <v>11.8465095941051</v>
      </c>
      <c r="E47" s="168">
        <f>('Pivot Table for Data Exchange'!$C$192)*100</f>
        <v>11.695757360508834</v>
      </c>
      <c r="F47" s="168">
        <f>('Pivot Table for Data Exchange'!$C$195)*100</f>
        <v>2.8928389347478649E-2</v>
      </c>
      <c r="G47" s="178">
        <f>('Pivot Table for Data Exchange'!$C$198)*100</f>
        <v>0.12182384424878796</v>
      </c>
      <c r="H47" s="168">
        <f>('Pivot Table for Data Exchange'!$C$201)*100</f>
        <v>0</v>
      </c>
      <c r="I47" s="174" t="s">
        <v>623</v>
      </c>
      <c r="J47" s="168">
        <f>('Pivot Table for Data Exchange'!$C$204)*100</f>
        <v>68.445128507615834</v>
      </c>
      <c r="K47" s="168">
        <f>('Pivot Table for Data Exchange'!$C$207)*100</f>
        <v>3.9526153127745727</v>
      </c>
      <c r="L47" s="169">
        <f t="shared" si="7"/>
        <v>27.60225617960959</v>
      </c>
      <c r="M47" s="168">
        <f>('Pivot Table for Data Exchange'!$C$210)*100</f>
        <v>26.781380373940877</v>
      </c>
      <c r="N47" s="168">
        <f>('Pivot Table for Data Exchange'!$C$213)*100</f>
        <v>0.41043790283435638</v>
      </c>
      <c r="O47" s="179">
        <f>('Pivot Table for Data Exchange'!$C$216)*100</f>
        <v>0.41043790283435638</v>
      </c>
      <c r="P47" s="168">
        <f>('Pivot Table for Data Exchange'!$C$219)*100</f>
        <v>0</v>
      </c>
      <c r="Q47" s="173">
        <f t="shared" si="3"/>
        <v>100</v>
      </c>
      <c r="R47" s="173">
        <f t="shared" si="2"/>
        <v>100</v>
      </c>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row>
    <row r="48" spans="1:41" ht="15.75" customHeight="1">
      <c r="A48" s="139" t="s">
        <v>624</v>
      </c>
      <c r="B48" s="168">
        <f>('Pivot Table for Data Exchange'!$C$222)*100</f>
        <v>95.404364569961473</v>
      </c>
      <c r="C48" s="168">
        <f>('Pivot Table for Data Exchange'!$C$225)*100</f>
        <v>0</v>
      </c>
      <c r="D48" s="169">
        <f t="shared" si="6"/>
        <v>4.5956354300385174</v>
      </c>
      <c r="E48" s="168">
        <f>('Pivot Table for Data Exchange'!$C$228)*100</f>
        <v>4.5956354300385174</v>
      </c>
      <c r="F48" s="168">
        <f>('Pivot Table for Data Exchange'!$C$231)*100</f>
        <v>0</v>
      </c>
      <c r="G48" s="176">
        <f>('Pivot Table for Data Exchange'!$C$234)*100</f>
        <v>0</v>
      </c>
      <c r="H48" s="168">
        <f>('Pivot Table for Data Exchange'!$C$237)*100</f>
        <v>0</v>
      </c>
      <c r="I48" s="174" t="s">
        <v>624</v>
      </c>
      <c r="J48" s="168">
        <f>('Pivot Table for Data Exchange'!$C$240)*100</f>
        <v>92.662514597119554</v>
      </c>
      <c r="K48" s="168">
        <f>('Pivot Table for Data Exchange'!$C$243)*100</f>
        <v>0</v>
      </c>
      <c r="L48" s="169">
        <f t="shared" si="7"/>
        <v>7.337485402880449</v>
      </c>
      <c r="M48" s="168">
        <f>('Pivot Table for Data Exchange'!$C$246)*100</f>
        <v>7.337485402880449</v>
      </c>
      <c r="N48" s="168">
        <f>('Pivot Table for Data Exchange'!$C$249)*100</f>
        <v>0</v>
      </c>
      <c r="O48" s="176">
        <f>('Pivot Table for Data Exchange'!$C$252)*100</f>
        <v>0</v>
      </c>
      <c r="P48" s="168">
        <f>('Pivot Table for Data Exchange'!$C$255)*100</f>
        <v>0</v>
      </c>
      <c r="Q48" s="173">
        <f t="shared" si="3"/>
        <v>99.999999999999986</v>
      </c>
      <c r="R48" s="173">
        <f t="shared" si="2"/>
        <v>100</v>
      </c>
      <c r="S48" s="174"/>
      <c r="T48" s="148"/>
      <c r="U48" s="174"/>
      <c r="V48" s="174"/>
      <c r="W48" s="174"/>
      <c r="X48" s="174"/>
      <c r="Y48" s="174"/>
      <c r="Z48" s="174"/>
      <c r="AA48" s="174"/>
      <c r="AB48" s="174"/>
      <c r="AC48" s="174"/>
      <c r="AD48" s="174"/>
      <c r="AE48" s="174"/>
      <c r="AF48" s="174"/>
      <c r="AG48" s="174"/>
      <c r="AH48" s="174"/>
      <c r="AI48" s="174"/>
      <c r="AJ48" s="174"/>
      <c r="AK48" s="174"/>
      <c r="AL48" s="174"/>
      <c r="AM48" s="174"/>
      <c r="AN48" s="174"/>
      <c r="AO48" s="174"/>
    </row>
    <row r="49" spans="1:41" ht="15.75" customHeight="1">
      <c r="A49" s="139" t="s">
        <v>625</v>
      </c>
      <c r="B49" s="168">
        <f>('Pivot Table for Data Exchange'!$C$258)*100</f>
        <v>92.61803461048865</v>
      </c>
      <c r="C49" s="168">
        <f>('Pivot Table for Data Exchange'!$C$261)*100</f>
        <v>1.8399293569880391</v>
      </c>
      <c r="D49" s="169">
        <f t="shared" si="6"/>
        <v>5.5420360325233089</v>
      </c>
      <c r="E49" s="168">
        <f>('Pivot Table for Data Exchange'!$C$264)*100</f>
        <v>5.4484569777176342</v>
      </c>
      <c r="F49" s="168">
        <f>('Pivot Table for Data Exchange'!$C$267)*100</f>
        <v>9.3579054805674383E-2</v>
      </c>
      <c r="G49" s="176">
        <f>('Pivot Table for Data Exchange'!$C$270)*100</f>
        <v>0</v>
      </c>
      <c r="H49" s="168">
        <f>('Pivot Table for Data Exchange'!$C$273)*100</f>
        <v>0</v>
      </c>
      <c r="I49" s="174" t="s">
        <v>625</v>
      </c>
      <c r="J49" s="168">
        <f>('Pivot Table for Data Exchange'!$C$276)*100</f>
        <v>75.367177418831915</v>
      </c>
      <c r="K49" s="168">
        <f>('Pivot Table for Data Exchange'!$C$279)*100</f>
        <v>11.651763424265807</v>
      </c>
      <c r="L49" s="169">
        <f t="shared" si="7"/>
        <v>12.981059156902289</v>
      </c>
      <c r="M49" s="168">
        <f>('Pivot Table for Data Exchange'!$C$282)*100</f>
        <v>12.757348411653711</v>
      </c>
      <c r="N49" s="168">
        <f>('Pivot Table for Data Exchange'!$C$285)*100</f>
        <v>0.22371074524857831</v>
      </c>
      <c r="O49" s="176">
        <f>('Pivot Table for Data Exchange'!$C$288)*100</f>
        <v>0</v>
      </c>
      <c r="P49" s="168">
        <f>('Pivot Table for Data Exchange'!$C$291)*100</f>
        <v>0</v>
      </c>
      <c r="Q49" s="173">
        <f t="shared" si="3"/>
        <v>100</v>
      </c>
      <c r="R49" s="173">
        <f t="shared" si="2"/>
        <v>100.00000000000001</v>
      </c>
      <c r="S49" s="174"/>
      <c r="U49" s="174"/>
      <c r="V49" s="174"/>
      <c r="W49" s="174"/>
      <c r="X49" s="174"/>
      <c r="Y49" s="174"/>
      <c r="Z49" s="174"/>
      <c r="AA49" s="174"/>
      <c r="AB49" s="174"/>
      <c r="AC49" s="174"/>
      <c r="AD49" s="174"/>
      <c r="AE49" s="174"/>
      <c r="AF49" s="174"/>
      <c r="AG49" s="174"/>
      <c r="AH49" s="174"/>
      <c r="AI49" s="174"/>
      <c r="AJ49" s="174"/>
      <c r="AK49" s="174"/>
      <c r="AL49" s="174"/>
      <c r="AM49" s="174"/>
      <c r="AN49" s="174"/>
      <c r="AO49" s="174"/>
    </row>
    <row r="50" spans="1:41" ht="12" customHeight="1">
      <c r="B50" s="168"/>
      <c r="C50" s="168"/>
      <c r="D50" s="169"/>
      <c r="E50" s="168"/>
      <c r="F50" s="168"/>
      <c r="G50" s="176"/>
      <c r="H50" s="168"/>
      <c r="I50" s="174"/>
      <c r="J50" s="168"/>
      <c r="K50" s="168"/>
      <c r="L50" s="169"/>
      <c r="M50" s="168"/>
      <c r="N50" s="168"/>
      <c r="O50" s="176"/>
      <c r="P50" s="168"/>
      <c r="Q50" s="173">
        <f t="shared" si="3"/>
        <v>0</v>
      </c>
      <c r="R50" s="173">
        <f t="shared" si="2"/>
        <v>0</v>
      </c>
      <c r="S50" s="174"/>
      <c r="U50" s="174"/>
      <c r="V50" s="174"/>
      <c r="W50" s="174"/>
      <c r="X50" s="174"/>
      <c r="Y50" s="174"/>
      <c r="Z50" s="174"/>
      <c r="AA50" s="174"/>
      <c r="AB50" s="174"/>
      <c r="AC50" s="174"/>
      <c r="AD50" s="174"/>
      <c r="AE50" s="174"/>
      <c r="AF50" s="174"/>
      <c r="AG50" s="174"/>
      <c r="AH50" s="174"/>
      <c r="AI50" s="174"/>
      <c r="AJ50" s="174"/>
      <c r="AK50" s="174"/>
      <c r="AL50" s="174"/>
      <c r="AM50" s="174"/>
      <c r="AN50" s="174"/>
      <c r="AO50" s="174"/>
    </row>
    <row r="51" spans="1:41" ht="15.75" customHeight="1">
      <c r="A51" s="139" t="s">
        <v>626</v>
      </c>
      <c r="B51" s="168">
        <f>('Pivot Table for Data Exchange'!$C$294)*100</f>
        <v>78.334735191389257</v>
      </c>
      <c r="C51" s="168">
        <f>('Pivot Table for Data Exchange'!$C$297)*100</f>
        <v>4.3417207213628917</v>
      </c>
      <c r="D51" s="169">
        <f t="shared" ref="D51:D53" si="8">SUM(E51:G51)</f>
        <v>16.950602323757931</v>
      </c>
      <c r="E51" s="168">
        <f>('Pivot Table for Data Exchange'!$C$300)*100</f>
        <v>16.056597048969991</v>
      </c>
      <c r="F51" s="168">
        <f>('Pivot Table for Data Exchange'!$C$303)*100</f>
        <v>0.89400527478793923</v>
      </c>
      <c r="G51" s="179">
        <f>('Pivot Table for Data Exchange'!$C$306)*100</f>
        <v>0</v>
      </c>
      <c r="H51" s="195">
        <f>('Pivot Table for Data Exchange'!$C$309)*100</f>
        <v>0.37294176348991376</v>
      </c>
      <c r="I51" s="174" t="s">
        <v>626</v>
      </c>
      <c r="J51" s="168">
        <f>('Pivot Table for Data Exchange'!$C$312)*100</f>
        <v>71.950844675903099</v>
      </c>
      <c r="K51" s="168">
        <f>('Pivot Table for Data Exchange'!$C$315)*100</f>
        <v>3.6634518914592915</v>
      </c>
      <c r="L51" s="169">
        <f t="shared" ref="L51:L53" si="9">SUM(M51:O51)</f>
        <v>24.336988859441057</v>
      </c>
      <c r="M51" s="168">
        <f>('Pivot Table for Data Exchange'!$C$318)*100</f>
        <v>23.525079306165292</v>
      </c>
      <c r="N51" s="168">
        <f>('Pivot Table for Data Exchange'!$C$321)*100</f>
        <v>0.81190955327576497</v>
      </c>
      <c r="O51" s="175">
        <f>('Pivot Table for Data Exchange'!$C$324)*100</f>
        <v>0</v>
      </c>
      <c r="P51" s="180">
        <f>('Pivot Table for Data Exchange'!$C$327)*100</f>
        <v>4.8714573196545902E-2</v>
      </c>
      <c r="Q51" s="173">
        <f t="shared" si="3"/>
        <v>100</v>
      </c>
      <c r="R51" s="173">
        <f t="shared" si="2"/>
        <v>100</v>
      </c>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row>
    <row r="52" spans="1:41" ht="15.75" customHeight="1">
      <c r="A52" s="139" t="s">
        <v>627</v>
      </c>
      <c r="B52" s="168">
        <f>('Pivot Table for Data Exchange'!$C$330)*100</f>
        <v>84.154744216455484</v>
      </c>
      <c r="C52" s="168">
        <f>('Pivot Table for Data Exchange'!$C$333)*100</f>
        <v>0.86306037101195643</v>
      </c>
      <c r="D52" s="169">
        <f t="shared" si="8"/>
        <v>14.982195412532562</v>
      </c>
      <c r="E52" s="168">
        <f>('Pivot Table for Data Exchange'!$C$336)*100</f>
        <v>14.976943565805435</v>
      </c>
      <c r="F52" s="180">
        <f>('Pivot Table for Data Exchange'!$C$339)*100</f>
        <v>5.2518467271276906E-3</v>
      </c>
      <c r="G52" s="175">
        <f>('Pivot Table for Data Exchange'!$C$342)*100</f>
        <v>0</v>
      </c>
      <c r="H52" s="168">
        <f>('Pivot Table for Data Exchange'!$C$345)*100</f>
        <v>0</v>
      </c>
      <c r="I52" s="174" t="s">
        <v>627</v>
      </c>
      <c r="J52" s="168">
        <f>('Pivot Table for Data Exchange'!$C$348)*100</f>
        <v>78.418634572085594</v>
      </c>
      <c r="K52" s="168">
        <f>('Pivot Table for Data Exchange'!$C$351)*100</f>
        <v>1.6076735109288962</v>
      </c>
      <c r="L52" s="169">
        <f t="shared" si="9"/>
        <v>19.973691916985519</v>
      </c>
      <c r="M52" s="168">
        <f>('Pivot Table for Data Exchange'!$C$354)*100</f>
        <v>19.962938248016094</v>
      </c>
      <c r="N52" s="177">
        <f>('Pivot Table for Data Exchange'!$C$357)*100</f>
        <v>1.0753668969424054E-2</v>
      </c>
      <c r="O52" s="176">
        <f>('Pivot Table for Data Exchange'!$C$360)*100</f>
        <v>0</v>
      </c>
      <c r="P52" s="168">
        <f>('Pivot Table for Data Exchange'!$C$363)*100</f>
        <v>0</v>
      </c>
      <c r="Q52" s="173">
        <f t="shared" si="3"/>
        <v>100</v>
      </c>
      <c r="R52" s="173">
        <f t="shared" si="2"/>
        <v>100</v>
      </c>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row>
    <row r="53" spans="1:41" ht="15.75" customHeight="1">
      <c r="A53" s="139" t="s">
        <v>628</v>
      </c>
      <c r="B53" s="168">
        <f>('Pivot Table for Data Exchange'!$C$366)*100</f>
        <v>0</v>
      </c>
      <c r="C53" s="168">
        <f>('Pivot Table for Data Exchange'!$C$369)*100</f>
        <v>0</v>
      </c>
      <c r="D53" s="169">
        <f t="shared" si="8"/>
        <v>0</v>
      </c>
      <c r="E53" s="168">
        <f>('Pivot Table for Data Exchange'!$C$372)*100</f>
        <v>0</v>
      </c>
      <c r="F53" s="168">
        <f>('Pivot Table for Data Exchange'!$C$375)*100</f>
        <v>0</v>
      </c>
      <c r="G53" s="176">
        <f>('Pivot Table for Data Exchange'!$C$378)*100</f>
        <v>0</v>
      </c>
      <c r="H53" s="168">
        <f>('Pivot Table for Data Exchange'!$C$381)*100</f>
        <v>0</v>
      </c>
      <c r="I53" s="174" t="s">
        <v>628</v>
      </c>
      <c r="J53" s="168">
        <f>('Pivot Table for Data Exchange'!$C$384)*100</f>
        <v>0</v>
      </c>
      <c r="K53" s="168">
        <f>('Pivot Table for Data Exchange'!$C$387)*100</f>
        <v>0</v>
      </c>
      <c r="L53" s="169">
        <f t="shared" si="9"/>
        <v>0</v>
      </c>
      <c r="M53" s="168">
        <f>('Pivot Table for Data Exchange'!$C$390)*100</f>
        <v>0</v>
      </c>
      <c r="N53" s="168">
        <f>('Pivot Table for Data Exchange'!$C$393)*100</f>
        <v>0</v>
      </c>
      <c r="O53" s="176">
        <f>('Pivot Table for Data Exchange'!$C$396)*100</f>
        <v>0</v>
      </c>
      <c r="P53" s="168">
        <f>('Pivot Table for Data Exchange'!$C$399)*100</f>
        <v>0</v>
      </c>
      <c r="Q53" s="173">
        <f t="shared" si="3"/>
        <v>0</v>
      </c>
      <c r="R53" s="173">
        <f t="shared" si="2"/>
        <v>0</v>
      </c>
      <c r="S53" s="174"/>
      <c r="T53" s="148"/>
      <c r="U53" s="174"/>
      <c r="V53" s="174"/>
      <c r="W53" s="174"/>
      <c r="X53" s="174"/>
      <c r="Y53" s="174"/>
      <c r="Z53" s="174"/>
      <c r="AA53" s="174"/>
      <c r="AB53" s="174"/>
      <c r="AC53" s="174"/>
      <c r="AD53" s="174"/>
      <c r="AE53" s="174"/>
      <c r="AF53" s="174"/>
      <c r="AG53" s="174"/>
      <c r="AH53" s="174"/>
      <c r="AI53" s="174"/>
      <c r="AJ53" s="174"/>
      <c r="AK53" s="174"/>
      <c r="AL53" s="174"/>
      <c r="AM53" s="174"/>
      <c r="AN53" s="174"/>
      <c r="AO53" s="174"/>
    </row>
    <row r="54" spans="1:41" ht="15.75" customHeight="1">
      <c r="A54" s="139" t="s">
        <v>629</v>
      </c>
      <c r="B54" s="168">
        <f>('Pivot Table for Data Exchange'!$C$402)*100</f>
        <v>86.552854842942054</v>
      </c>
      <c r="C54" s="168">
        <f>('Pivot Table for Data Exchange'!$C$405)*100</f>
        <v>2.0268685368333936</v>
      </c>
      <c r="D54" s="169">
        <f>SUM(E54:G54)</f>
        <v>11.420276620224557</v>
      </c>
      <c r="E54" s="168">
        <f>('Pivot Table for Data Exchange'!$C$408)*100</f>
        <v>11.419858996212847</v>
      </c>
      <c r="F54" s="168">
        <f>('Pivot Table for Data Exchange'!$C$411)*100</f>
        <v>4.1762401171017733E-4</v>
      </c>
      <c r="G54" s="176">
        <f>('Pivot Table for Data Exchange'!$C$414)*100</f>
        <v>0</v>
      </c>
      <c r="H54" s="168">
        <f>('Pivot Table for Data Exchange'!$C$417)*100</f>
        <v>0</v>
      </c>
      <c r="I54" s="174" t="s">
        <v>629</v>
      </c>
      <c r="J54" s="168">
        <f>('Pivot Table for Data Exchange'!$C$420)*100</f>
        <v>64.954238956383776</v>
      </c>
      <c r="K54" s="168">
        <f>('Pivot Table for Data Exchange'!$C$423)*100</f>
        <v>10.926826401845133</v>
      </c>
      <c r="L54" s="169">
        <f>SUM(M54:O54)</f>
        <v>24.118934641771091</v>
      </c>
      <c r="M54" s="168">
        <f>('Pivot Table for Data Exchange'!$C$426)*100</f>
        <v>20.353381028631869</v>
      </c>
      <c r="N54" s="168">
        <f>('Pivot Table for Data Exchange'!$C$429)*100</f>
        <v>3.7655536131392218</v>
      </c>
      <c r="O54" s="176">
        <f>('Pivot Table for Data Exchange'!$C$432)*100</f>
        <v>0</v>
      </c>
      <c r="P54" s="168">
        <f>('Pivot Table for Data Exchange'!$C$435)*100</f>
        <v>0</v>
      </c>
      <c r="Q54" s="173">
        <f t="shared" si="3"/>
        <v>100</v>
      </c>
      <c r="R54" s="173">
        <f t="shared" si="2"/>
        <v>100</v>
      </c>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row>
    <row r="55" spans="1:41" ht="14.25" customHeight="1">
      <c r="B55" s="168"/>
      <c r="C55" s="168"/>
      <c r="D55" s="169"/>
      <c r="E55" s="168"/>
      <c r="F55" s="168"/>
      <c r="G55" s="176"/>
      <c r="H55" s="168"/>
      <c r="I55" s="174"/>
      <c r="J55" s="168"/>
      <c r="K55" s="168"/>
      <c r="L55" s="169"/>
      <c r="M55" s="168"/>
      <c r="N55" s="168"/>
      <c r="O55" s="176"/>
      <c r="P55" s="168"/>
      <c r="Q55" s="173">
        <f t="shared" si="3"/>
        <v>0</v>
      </c>
      <c r="R55" s="173">
        <f t="shared" si="2"/>
        <v>0</v>
      </c>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row>
    <row r="56" spans="1:41" ht="15.75" customHeight="1">
      <c r="A56" s="139" t="s">
        <v>630</v>
      </c>
      <c r="B56" s="168">
        <f>('Pivot Table for Data Exchange'!$C$438)*100</f>
        <v>80.951872819394936</v>
      </c>
      <c r="C56" s="168">
        <f>('Pivot Table for Data Exchange'!$C$441)*100</f>
        <v>1.8684367479234829</v>
      </c>
      <c r="D56" s="169">
        <f>SUM(E56:G56)</f>
        <v>16.528390977844765</v>
      </c>
      <c r="E56" s="168">
        <f>('Pivot Table for Data Exchange'!$C$444)*100</f>
        <v>13.02656074634573</v>
      </c>
      <c r="F56" s="195">
        <f>('Pivot Table for Data Exchange'!$C$447)*100</f>
        <v>9.7180433577173653E-3</v>
      </c>
      <c r="G56" s="176">
        <f>('Pivot Table for Data Exchange'!$C$450)*100</f>
        <v>3.4921121881413191</v>
      </c>
      <c r="H56" s="168">
        <f>('Pivot Table for Data Exchange'!$C$453)*100</f>
        <v>0.65129945483682261</v>
      </c>
      <c r="I56" s="174" t="s">
        <v>630</v>
      </c>
      <c r="J56" s="168">
        <f>('Pivot Table for Data Exchange'!$C$456)*100</f>
        <v>65.189184313776011</v>
      </c>
      <c r="K56" s="168">
        <f>('Pivot Table for Data Exchange'!$C$459)*100</f>
        <v>1.4263717714970461</v>
      </c>
      <c r="L56" s="169">
        <f>SUM(M56:O56)</f>
        <v>29.920950399113512</v>
      </c>
      <c r="M56" s="168">
        <f>('Pivot Table for Data Exchange'!$C$462)*100</f>
        <v>27.208009328754855</v>
      </c>
      <c r="N56" s="168">
        <f>('Pivot Table for Data Exchange'!$C$465)*100</f>
        <v>0.17201502393392562</v>
      </c>
      <c r="O56" s="176">
        <f>('Pivot Table for Data Exchange'!$C$468)*100</f>
        <v>2.5409260464247287</v>
      </c>
      <c r="P56" s="168">
        <f>('Pivot Table for Data Exchange'!$C$471)*100</f>
        <v>3.4634935156134237</v>
      </c>
      <c r="Q56" s="173">
        <f t="shared" si="3"/>
        <v>100</v>
      </c>
      <c r="R56" s="173">
        <f t="shared" si="2"/>
        <v>99.999999999999986</v>
      </c>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row>
    <row r="57" spans="1:41" ht="15.75" customHeight="1">
      <c r="A57" s="139" t="s">
        <v>631</v>
      </c>
      <c r="B57" s="168">
        <f>('Pivot Table for Data Exchange'!$C$474)*100</f>
        <v>0</v>
      </c>
      <c r="C57" s="168">
        <f>('Pivot Table for Data Exchange'!$C$477)*100</f>
        <v>0</v>
      </c>
      <c r="D57" s="169">
        <f>SUM(E57:G57)</f>
        <v>0</v>
      </c>
      <c r="E57" s="168">
        <f>('Pivot Table for Data Exchange'!$C$480)*100</f>
        <v>0</v>
      </c>
      <c r="F57" s="168">
        <f>('Pivot Table for Data Exchange'!$C$483)*100</f>
        <v>0</v>
      </c>
      <c r="G57" s="176">
        <f>('Pivot Table for Data Exchange'!$C$486)*100</f>
        <v>0</v>
      </c>
      <c r="H57" s="168">
        <f>('Pivot Table for Data Exchange'!$C$489)*100</f>
        <v>0</v>
      </c>
      <c r="I57" s="174" t="s">
        <v>631</v>
      </c>
      <c r="J57" s="168">
        <f>('Pivot Table for Data Exchange'!$C$492)*100</f>
        <v>0</v>
      </c>
      <c r="K57" s="168">
        <f>('Pivot Table for Data Exchange'!$C$495)*100</f>
        <v>0</v>
      </c>
      <c r="L57" s="169">
        <f>SUM(M57:O57)</f>
        <v>0</v>
      </c>
      <c r="M57" s="168">
        <f>('Pivot Table for Data Exchange'!$C$498)*100</f>
        <v>0</v>
      </c>
      <c r="N57" s="168">
        <f>('Pivot Table for Data Exchange'!$C$501)*100</f>
        <v>0</v>
      </c>
      <c r="O57" s="176">
        <f>('Pivot Table for Data Exchange'!$C$504)*100</f>
        <v>0</v>
      </c>
      <c r="P57" s="168">
        <f>('Pivot Table for Data Exchange'!$C$507)*100</f>
        <v>0</v>
      </c>
      <c r="Q57" s="173">
        <f t="shared" si="3"/>
        <v>0</v>
      </c>
      <c r="R57" s="173">
        <f t="shared" si="2"/>
        <v>0</v>
      </c>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row>
    <row r="58" spans="1:41" ht="15.75" customHeight="1">
      <c r="A58" s="139" t="s">
        <v>632</v>
      </c>
      <c r="B58" s="168">
        <f>('Pivot Table for Data Exchange'!$C$510)*100</f>
        <v>87.365708434188122</v>
      </c>
      <c r="C58" s="168">
        <f>('Pivot Table for Data Exchange'!$C$513)*100</f>
        <v>1.4017035198831509</v>
      </c>
      <c r="D58" s="169">
        <f t="shared" ref="D58" si="10">SUM(E58:G58)</f>
        <v>11.232588045928722</v>
      </c>
      <c r="E58" s="168">
        <f>('Pivot Table for Data Exchange'!$C$516)*100</f>
        <v>10.449828658800197</v>
      </c>
      <c r="F58" s="168">
        <f>('Pivot Table for Data Exchange'!$C$519)*100</f>
        <v>0.78123282618943524</v>
      </c>
      <c r="G58" s="176">
        <f>('Pivot Table for Data Exchange'!$C$522)*100</f>
        <v>1.52656093909144E-3</v>
      </c>
      <c r="H58" s="168">
        <f>('Pivot Table for Data Exchange'!$C$525)*100</f>
        <v>0</v>
      </c>
      <c r="I58" s="174" t="s">
        <v>632</v>
      </c>
      <c r="J58" s="168">
        <f>('Pivot Table for Data Exchange'!$C$528)*100</f>
        <v>76.509366211083787</v>
      </c>
      <c r="K58" s="168">
        <f>('Pivot Table for Data Exchange'!$C$531)*100</f>
        <v>6.6126948173305351</v>
      </c>
      <c r="L58" s="169">
        <f t="shared" ref="L58" si="11">SUM(M58:O58)</f>
        <v>16.877938971585685</v>
      </c>
      <c r="M58" s="168">
        <f>('Pivot Table for Data Exchange'!$C$534)*100</f>
        <v>13.016170555896982</v>
      </c>
      <c r="N58" s="168">
        <f>('Pivot Table for Data Exchange'!$C$537)*100</f>
        <v>3.6012420151668083</v>
      </c>
      <c r="O58" s="176">
        <f>('Pivot Table for Data Exchange'!$C$540)*100</f>
        <v>0.26052640052189274</v>
      </c>
      <c r="P58" s="168">
        <f>('Pivot Table for Data Exchange'!$C$543)*100</f>
        <v>0</v>
      </c>
      <c r="Q58" s="173">
        <f t="shared" si="3"/>
        <v>100</v>
      </c>
      <c r="R58" s="173">
        <f t="shared" si="2"/>
        <v>100</v>
      </c>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row>
    <row r="59" spans="1:41" ht="15.75" customHeight="1">
      <c r="A59" s="145" t="s">
        <v>633</v>
      </c>
      <c r="B59" s="181">
        <f>('Pivot Table for Data Exchange'!$C$546)*100</f>
        <v>85.922541554081718</v>
      </c>
      <c r="C59" s="181">
        <f>('Pivot Table for Data Exchange'!$C$549)*100</f>
        <v>0.88528617047408487</v>
      </c>
      <c r="D59" s="182">
        <f>SUM(E59:G59)</f>
        <v>13.192172275444198</v>
      </c>
      <c r="E59" s="181">
        <f>('Pivot Table for Data Exchange'!$C$552)*100</f>
        <v>12.823057397854745</v>
      </c>
      <c r="F59" s="196">
        <f>('Pivot Table for Data Exchange'!$C$555)*100</f>
        <v>0</v>
      </c>
      <c r="G59" s="183">
        <f>('Pivot Table for Data Exchange'!$C$558)*100</f>
        <v>0.36911487758945388</v>
      </c>
      <c r="H59" s="181">
        <f>('Pivot Table for Data Exchange'!$C$561)*100</f>
        <v>0</v>
      </c>
      <c r="I59" s="184" t="s">
        <v>633</v>
      </c>
      <c r="J59" s="181">
        <f>('Pivot Table for Data Exchange'!$C$564)*100</f>
        <v>68.003117221485567</v>
      </c>
      <c r="K59" s="181">
        <f>('Pivot Table for Data Exchange'!$C$567)*100</f>
        <v>2.3576895340451767</v>
      </c>
      <c r="L59" s="182">
        <f>SUM(M59:O59)</f>
        <v>29.639193244469254</v>
      </c>
      <c r="M59" s="181">
        <f>('Pivot Table for Data Exchange'!$C$570)*100</f>
        <v>29.04250122129946</v>
      </c>
      <c r="N59" s="181">
        <f>('Pivot Table for Data Exchange'!$C$573)*100</f>
        <v>5.5830832577290809E-2</v>
      </c>
      <c r="O59" s="183">
        <f>('Pivot Table for Data Exchange'!$C$576)*100</f>
        <v>0.5408611905925047</v>
      </c>
      <c r="P59" s="181">
        <f>('Pivot Table for Data Exchange'!$C$579)*100</f>
        <v>0</v>
      </c>
      <c r="Q59" s="173">
        <f t="shared" si="3"/>
        <v>100</v>
      </c>
      <c r="R59" s="173">
        <f t="shared" si="2"/>
        <v>100</v>
      </c>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row>
    <row r="60" spans="1:41" s="186" customFormat="1" ht="13.5" customHeight="1">
      <c r="A60" s="187" t="s">
        <v>658</v>
      </c>
      <c r="B60" s="188"/>
      <c r="C60" s="188"/>
      <c r="D60" s="189"/>
      <c r="E60" s="188"/>
      <c r="F60" s="189"/>
      <c r="G60" s="189"/>
      <c r="H60" s="188"/>
      <c r="I60" s="187" t="s">
        <v>658</v>
      </c>
      <c r="J60" s="188"/>
      <c r="K60" s="188"/>
      <c r="L60" s="189"/>
      <c r="M60" s="188"/>
      <c r="N60" s="189"/>
      <c r="O60" s="189"/>
      <c r="P60" s="188"/>
      <c r="Q60" s="173"/>
      <c r="R60" s="173"/>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row>
    <row r="61" spans="1:41" s="186" customFormat="1" ht="24" customHeight="1">
      <c r="A61" s="492" t="s">
        <v>659</v>
      </c>
      <c r="B61" s="505"/>
      <c r="C61" s="505"/>
      <c r="D61" s="505"/>
      <c r="E61" s="505"/>
      <c r="F61" s="505"/>
      <c r="G61" s="505"/>
      <c r="H61" s="505"/>
      <c r="I61" s="492" t="s">
        <v>659</v>
      </c>
      <c r="J61" s="505"/>
      <c r="K61" s="505"/>
      <c r="L61" s="505"/>
      <c r="M61" s="505"/>
      <c r="N61" s="505"/>
      <c r="O61" s="505"/>
      <c r="P61" s="505"/>
      <c r="Q61" s="173"/>
      <c r="R61" s="173"/>
    </row>
    <row r="62" spans="1:41" s="186" customFormat="1" ht="13.5" customHeight="1">
      <c r="A62" s="197"/>
      <c r="B62" s="198"/>
      <c r="I62" s="197"/>
      <c r="P62" s="199"/>
      <c r="Q62" s="173"/>
      <c r="R62" s="173"/>
    </row>
    <row r="63" spans="1:41" s="186" customFormat="1" ht="13.5" customHeight="1">
      <c r="H63" s="192" t="s">
        <v>923</v>
      </c>
      <c r="P63" s="192" t="s">
        <v>923</v>
      </c>
      <c r="Q63" s="173"/>
      <c r="R63" s="173"/>
    </row>
    <row r="64" spans="1:41" ht="18">
      <c r="A64" s="134" t="s">
        <v>660</v>
      </c>
      <c r="B64" s="135"/>
      <c r="C64" s="135"/>
      <c r="D64" s="135"/>
      <c r="E64" s="135"/>
      <c r="F64" s="135"/>
      <c r="G64" s="135"/>
      <c r="H64" s="135"/>
      <c r="I64" s="134" t="s">
        <v>661</v>
      </c>
      <c r="J64" s="136"/>
      <c r="K64" s="136"/>
      <c r="L64" s="135"/>
      <c r="M64" s="136"/>
      <c r="N64" s="136"/>
      <c r="O64" s="136"/>
      <c r="P64" s="136"/>
      <c r="Q64" s="173"/>
      <c r="R64" s="173"/>
    </row>
    <row r="65" spans="1:41" ht="13">
      <c r="A65" s="140"/>
      <c r="B65" s="136"/>
      <c r="C65" s="136"/>
      <c r="D65" s="136"/>
      <c r="E65" s="136"/>
      <c r="F65" s="136"/>
      <c r="G65" s="136"/>
      <c r="H65" s="136"/>
      <c r="I65" s="140"/>
      <c r="J65" s="136"/>
      <c r="K65" s="136"/>
      <c r="L65" s="136"/>
      <c r="M65" s="136"/>
      <c r="N65" s="136"/>
      <c r="O65" s="136"/>
      <c r="P65" s="136"/>
      <c r="Q65" s="173"/>
      <c r="R65" s="173"/>
    </row>
    <row r="66" spans="1:41" ht="15.5">
      <c r="A66" s="142" t="s">
        <v>639</v>
      </c>
      <c r="B66" s="136"/>
      <c r="C66" s="136"/>
      <c r="D66" s="136"/>
      <c r="E66" s="136"/>
      <c r="F66" s="136"/>
      <c r="G66" s="136"/>
      <c r="H66" s="136"/>
      <c r="I66" s="142" t="s">
        <v>640</v>
      </c>
      <c r="J66" s="136"/>
      <c r="K66" s="136"/>
      <c r="L66" s="136"/>
      <c r="M66" s="136"/>
      <c r="N66" s="136"/>
      <c r="O66" s="136"/>
      <c r="P66" s="136"/>
      <c r="Q66" s="173"/>
      <c r="R66" s="173"/>
    </row>
    <row r="67" spans="1:41" ht="15.5">
      <c r="A67" s="142" t="s">
        <v>748</v>
      </c>
      <c r="B67" s="136"/>
      <c r="C67" s="136"/>
      <c r="D67" s="136"/>
      <c r="E67" s="136"/>
      <c r="F67" s="136"/>
      <c r="G67" s="136"/>
      <c r="H67" s="136"/>
      <c r="I67" s="142" t="s">
        <v>748</v>
      </c>
      <c r="J67" s="136"/>
      <c r="K67" s="136"/>
      <c r="L67" s="136"/>
      <c r="M67" s="136"/>
      <c r="N67" s="136"/>
      <c r="O67" s="136"/>
      <c r="P67" s="136"/>
      <c r="Q67" s="173"/>
      <c r="R67" s="173"/>
    </row>
    <row r="68" spans="1:41">
      <c r="A68" s="145"/>
      <c r="B68" s="146"/>
      <c r="C68" s="146"/>
      <c r="D68" s="146"/>
      <c r="E68" s="146"/>
      <c r="F68" s="146"/>
      <c r="G68" s="146"/>
      <c r="H68" s="146"/>
      <c r="I68" s="147"/>
      <c r="L68" s="148"/>
      <c r="P68" s="145"/>
      <c r="Q68" s="173"/>
      <c r="R68" s="173"/>
    </row>
    <row r="69" spans="1:41" s="155" customFormat="1">
      <c r="A69" s="150"/>
      <c r="B69" s="151" t="s">
        <v>641</v>
      </c>
      <c r="C69" s="151"/>
      <c r="D69" s="151"/>
      <c r="E69" s="151"/>
      <c r="F69" s="151"/>
      <c r="G69" s="151"/>
      <c r="H69" s="152"/>
      <c r="I69" s="150"/>
      <c r="J69" s="151" t="s">
        <v>641</v>
      </c>
      <c r="K69" s="151"/>
      <c r="L69" s="151"/>
      <c r="M69" s="151"/>
      <c r="N69" s="151"/>
      <c r="O69" s="151"/>
      <c r="P69" s="152"/>
      <c r="Q69" s="173"/>
      <c r="R69" s="173"/>
    </row>
    <row r="70" spans="1:41" s="155" customFormat="1">
      <c r="A70" s="150"/>
      <c r="B70" s="151" t="s">
        <v>642</v>
      </c>
      <c r="C70" s="151"/>
      <c r="D70" s="487" t="s">
        <v>643</v>
      </c>
      <c r="E70" s="485"/>
      <c r="F70" s="485"/>
      <c r="G70" s="485"/>
      <c r="H70" s="158" t="s">
        <v>533</v>
      </c>
      <c r="I70" s="150"/>
      <c r="J70" s="151" t="s">
        <v>642</v>
      </c>
      <c r="K70" s="151"/>
      <c r="L70" s="487" t="s">
        <v>643</v>
      </c>
      <c r="M70" s="485"/>
      <c r="N70" s="485"/>
      <c r="O70" s="485"/>
      <c r="P70" s="158" t="s">
        <v>533</v>
      </c>
      <c r="Q70" s="173"/>
      <c r="R70" s="173"/>
    </row>
    <row r="71" spans="1:41" s="155" customFormat="1" ht="40.5" customHeight="1">
      <c r="A71" s="150"/>
      <c r="B71" s="159" t="s">
        <v>644</v>
      </c>
      <c r="C71" s="160" t="s">
        <v>645</v>
      </c>
      <c r="D71" s="161" t="s">
        <v>646</v>
      </c>
      <c r="E71" s="162" t="s">
        <v>8</v>
      </c>
      <c r="F71" s="159" t="s">
        <v>647</v>
      </c>
      <c r="G71" s="163" t="s">
        <v>656</v>
      </c>
      <c r="H71" s="164" t="s">
        <v>649</v>
      </c>
      <c r="I71" s="150"/>
      <c r="J71" s="159" t="s">
        <v>644</v>
      </c>
      <c r="K71" s="160" t="s">
        <v>645</v>
      </c>
      <c r="L71" s="161" t="s">
        <v>646</v>
      </c>
      <c r="M71" s="162" t="s">
        <v>8</v>
      </c>
      <c r="N71" s="159" t="s">
        <v>647</v>
      </c>
      <c r="O71" s="163" t="s">
        <v>656</v>
      </c>
      <c r="P71" s="164" t="s">
        <v>649</v>
      </c>
      <c r="Q71" s="173"/>
      <c r="R71" s="173"/>
      <c r="T71" s="193"/>
    </row>
    <row r="72" spans="1:41" ht="15.75" customHeight="1">
      <c r="A72" s="194" t="s">
        <v>618</v>
      </c>
      <c r="B72" s="168">
        <f>('Pivot Table for Data Exchange'!$D$6)*100</f>
        <v>85.296901893287441</v>
      </c>
      <c r="C72" s="180">
        <f>('Pivot Table for Data Exchange'!$D$9)*100</f>
        <v>9.3373493975903624E-2</v>
      </c>
      <c r="D72" s="169">
        <f>SUM(E72:G72)</f>
        <v>14.60972461273666</v>
      </c>
      <c r="E72" s="168">
        <f>('Pivot Table for Data Exchange'!$D$12)*100</f>
        <v>14.60972461273666</v>
      </c>
      <c r="F72" s="168">
        <f>('Pivot Table for Data Exchange'!$D$15)*100</f>
        <v>0</v>
      </c>
      <c r="G72" s="172">
        <f>('Pivot Table for Data Exchange'!$D$18)*100</f>
        <v>0</v>
      </c>
      <c r="H72" s="168">
        <f>('Pivot Table for Data Exchange'!$D$21)*100</f>
        <v>0</v>
      </c>
      <c r="I72" s="171" t="s">
        <v>618</v>
      </c>
      <c r="J72" s="168">
        <f>('Pivot Table for Data Exchange'!$D$24)*100</f>
        <v>67.262516970420037</v>
      </c>
      <c r="K72" s="168">
        <f>('Pivot Table for Data Exchange'!$D$27)*100</f>
        <v>0</v>
      </c>
      <c r="L72" s="169">
        <f>SUM(M72:O72)</f>
        <v>32.737483029579955</v>
      </c>
      <c r="M72" s="168">
        <f>('Pivot Table for Data Exchange'!$D$30)*100</f>
        <v>32.737483029579955</v>
      </c>
      <c r="N72" s="168">
        <f>('Pivot Table for Data Exchange'!$D$33)*100</f>
        <v>0</v>
      </c>
      <c r="O72" s="172">
        <f>('Pivot Table for Data Exchange'!$D$36)*100</f>
        <v>0</v>
      </c>
      <c r="P72" s="168">
        <f>('Pivot Table for Data Exchange'!$D$39)*100</f>
        <v>0</v>
      </c>
      <c r="Q72" s="173">
        <f t="shared" si="3"/>
        <v>100</v>
      </c>
      <c r="R72" s="173">
        <f t="shared" si="2"/>
        <v>100</v>
      </c>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row>
    <row r="73" spans="1:41" ht="15.75" customHeight="1">
      <c r="A73" s="139" t="s">
        <v>619</v>
      </c>
      <c r="B73" s="168">
        <f>('Pivot Table for Data Exchange'!$D$42)*100</f>
        <v>56.559656143471173</v>
      </c>
      <c r="C73" s="168">
        <f>('Pivot Table for Data Exchange'!$D$45)*100</f>
        <v>1.2947976878612717</v>
      </c>
      <c r="D73" s="169">
        <f t="shared" ref="D73:D75" si="12">SUM(E73:G73)</f>
        <v>42.145546168667558</v>
      </c>
      <c r="E73" s="168">
        <f>('Pivot Table for Data Exchange'!$D$48)*100</f>
        <v>42.145546168667558</v>
      </c>
      <c r="F73" s="168">
        <f>('Pivot Table for Data Exchange'!$D$51)*100</f>
        <v>0</v>
      </c>
      <c r="G73" s="176">
        <f>('Pivot Table for Data Exchange'!$D$54)*100</f>
        <v>0</v>
      </c>
      <c r="H73" s="168">
        <f>('Pivot Table for Data Exchange'!$D$57)*100</f>
        <v>0</v>
      </c>
      <c r="I73" s="174" t="s">
        <v>619</v>
      </c>
      <c r="J73" s="168">
        <f>('Pivot Table for Data Exchange'!$D$60)*100</f>
        <v>44.144709831670973</v>
      </c>
      <c r="K73" s="168">
        <f>('Pivot Table for Data Exchange'!$D$63)*100</f>
        <v>27.169319197237179</v>
      </c>
      <c r="L73" s="169">
        <f t="shared" ref="L73:L75" si="13">SUM(M73:O73)</f>
        <v>28.685970971091844</v>
      </c>
      <c r="M73" s="168">
        <f>('Pivot Table for Data Exchange'!$D$66)*100</f>
        <v>28.685970971091844</v>
      </c>
      <c r="N73" s="168">
        <f>('Pivot Table for Data Exchange'!$D$69)*100</f>
        <v>0</v>
      </c>
      <c r="O73" s="176">
        <f>('Pivot Table for Data Exchange'!$D$72)*100</f>
        <v>0</v>
      </c>
      <c r="P73" s="168">
        <f>('Pivot Table for Data Exchange'!$D$75)*100</f>
        <v>0</v>
      </c>
      <c r="Q73" s="173">
        <f t="shared" si="3"/>
        <v>100</v>
      </c>
      <c r="R73" s="173">
        <f t="shared" si="2"/>
        <v>100</v>
      </c>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row>
    <row r="74" spans="1:41" ht="15.75" customHeight="1">
      <c r="A74" s="139" t="s">
        <v>620</v>
      </c>
      <c r="B74" s="168">
        <f>('Pivot Table for Data Exchange'!$D$78)*100</f>
        <v>0</v>
      </c>
      <c r="C74" s="168">
        <f>('Pivot Table for Data Exchange'!$D$81)*100</f>
        <v>0</v>
      </c>
      <c r="D74" s="169">
        <f t="shared" si="12"/>
        <v>0</v>
      </c>
      <c r="E74" s="168">
        <f>('Pivot Table for Data Exchange'!$D$84)*100</f>
        <v>0</v>
      </c>
      <c r="F74" s="168">
        <f>('Pivot Table for Data Exchange'!$D$87)*100</f>
        <v>0</v>
      </c>
      <c r="G74" s="176">
        <f>('Pivot Table for Data Exchange'!$D$90)*100</f>
        <v>0</v>
      </c>
      <c r="H74" s="168">
        <f>('Pivot Table for Data Exchange'!$D$93)*100</f>
        <v>0</v>
      </c>
      <c r="I74" s="174" t="s">
        <v>620</v>
      </c>
      <c r="J74" s="168">
        <f>('Pivot Table for Data Exchange'!$D$96)*100</f>
        <v>0</v>
      </c>
      <c r="K74" s="168">
        <f>('Pivot Table for Data Exchange'!$D$99)*100</f>
        <v>0</v>
      </c>
      <c r="L74" s="169">
        <f t="shared" si="13"/>
        <v>0</v>
      </c>
      <c r="M74" s="168">
        <f>('Pivot Table for Data Exchange'!$D$102)*100</f>
        <v>0</v>
      </c>
      <c r="N74" s="168">
        <f>('Pivot Table for Data Exchange'!$D$105)*100</f>
        <v>0</v>
      </c>
      <c r="O74" s="176">
        <f>('Pivot Table for Data Exchange'!$D$108)*100</f>
        <v>0</v>
      </c>
      <c r="P74" s="168">
        <f>('Pivot Table for Data Exchange'!$D$111)*100</f>
        <v>0</v>
      </c>
      <c r="Q74" s="173">
        <f t="shared" si="3"/>
        <v>0</v>
      </c>
      <c r="R74" s="173">
        <f t="shared" si="2"/>
        <v>0</v>
      </c>
      <c r="S74" s="174"/>
      <c r="T74" s="148"/>
      <c r="U74" s="174"/>
      <c r="V74" s="174"/>
      <c r="W74" s="174"/>
      <c r="X74" s="174"/>
      <c r="Y74" s="174"/>
      <c r="Z74" s="174"/>
      <c r="AA74" s="174"/>
      <c r="AB74" s="174"/>
      <c r="AC74" s="174"/>
      <c r="AD74" s="174"/>
      <c r="AE74" s="174"/>
      <c r="AF74" s="174"/>
      <c r="AG74" s="174"/>
      <c r="AH74" s="174"/>
      <c r="AI74" s="174"/>
      <c r="AJ74" s="174"/>
      <c r="AK74" s="174"/>
      <c r="AL74" s="174"/>
      <c r="AM74" s="174"/>
      <c r="AN74" s="174"/>
      <c r="AO74" s="174"/>
    </row>
    <row r="75" spans="1:41" ht="15.75" customHeight="1">
      <c r="A75" s="139" t="s">
        <v>621</v>
      </c>
      <c r="B75" s="168">
        <f>('Pivot Table for Data Exchange'!$D$114)*100</f>
        <v>0</v>
      </c>
      <c r="C75" s="168">
        <f>('Pivot Table for Data Exchange'!$D$117)*100</f>
        <v>0</v>
      </c>
      <c r="D75" s="169">
        <f t="shared" si="12"/>
        <v>0</v>
      </c>
      <c r="E75" s="168">
        <f>('Pivot Table for Data Exchange'!$D$120)*100</f>
        <v>0</v>
      </c>
      <c r="F75" s="168">
        <f>('Pivot Table for Data Exchange'!$D$123)*100</f>
        <v>0</v>
      </c>
      <c r="G75" s="176">
        <f>('Pivot Table for Data Exchange'!$D$126)*100</f>
        <v>0</v>
      </c>
      <c r="H75" s="168">
        <f>('Pivot Table for Data Exchange'!$D$129)*100</f>
        <v>0</v>
      </c>
      <c r="I75" s="174" t="s">
        <v>621</v>
      </c>
      <c r="J75" s="168">
        <f>('Pivot Table for Data Exchange'!$D$132)*100</f>
        <v>0</v>
      </c>
      <c r="K75" s="168">
        <f>('Pivot Table for Data Exchange'!$D$135)*100</f>
        <v>0</v>
      </c>
      <c r="L75" s="169">
        <f t="shared" si="13"/>
        <v>0</v>
      </c>
      <c r="M75" s="168">
        <f>('Pivot Table for Data Exchange'!$D$138)*100</f>
        <v>0</v>
      </c>
      <c r="N75" s="168">
        <f>('Pivot Table for Data Exchange'!$D$141)*100</f>
        <v>0</v>
      </c>
      <c r="O75" s="176">
        <f>('Pivot Table for Data Exchange'!$D$144)*100</f>
        <v>0</v>
      </c>
      <c r="P75" s="168">
        <f>('Pivot Table for Data Exchange'!$D$147)*100</f>
        <v>0</v>
      </c>
      <c r="Q75" s="173">
        <f t="shared" ref="Q75:Q138" si="14">SUM(B75,C75,D75,H75)</f>
        <v>0</v>
      </c>
      <c r="R75" s="173">
        <f t="shared" ref="R75:R138" si="15">SUM(J75,K75,L75,P75)</f>
        <v>0</v>
      </c>
      <c r="S75" s="174"/>
      <c r="U75" s="174"/>
      <c r="V75" s="174"/>
      <c r="W75" s="174"/>
      <c r="X75" s="174"/>
      <c r="Y75" s="174"/>
      <c r="Z75" s="174"/>
      <c r="AA75" s="174"/>
      <c r="AB75" s="174"/>
      <c r="AC75" s="174"/>
      <c r="AD75" s="174"/>
      <c r="AE75" s="174"/>
      <c r="AF75" s="174"/>
      <c r="AG75" s="174"/>
      <c r="AH75" s="174"/>
      <c r="AI75" s="174"/>
      <c r="AJ75" s="174"/>
      <c r="AK75" s="174"/>
      <c r="AL75" s="174"/>
      <c r="AM75" s="174"/>
      <c r="AN75" s="174"/>
      <c r="AO75" s="174"/>
    </row>
    <row r="76" spans="1:41" ht="9" customHeight="1">
      <c r="B76" s="168"/>
      <c r="C76" s="168"/>
      <c r="D76" s="169"/>
      <c r="E76" s="168"/>
      <c r="F76" s="168"/>
      <c r="G76" s="176"/>
      <c r="H76" s="168"/>
      <c r="I76" s="174"/>
      <c r="J76" s="168"/>
      <c r="K76" s="168"/>
      <c r="L76" s="169"/>
      <c r="M76" s="168"/>
      <c r="N76" s="168"/>
      <c r="O76" s="176"/>
      <c r="P76" s="168"/>
      <c r="Q76" s="173">
        <f t="shared" si="14"/>
        <v>0</v>
      </c>
      <c r="R76" s="173">
        <f t="shared" si="15"/>
        <v>0</v>
      </c>
      <c r="S76" s="174"/>
      <c r="U76" s="174"/>
      <c r="V76" s="174"/>
      <c r="W76" s="174"/>
      <c r="X76" s="174"/>
      <c r="Y76" s="174"/>
      <c r="Z76" s="174"/>
      <c r="AA76" s="174"/>
      <c r="AB76" s="174"/>
      <c r="AC76" s="174"/>
      <c r="AD76" s="174"/>
      <c r="AE76" s="174"/>
      <c r="AF76" s="174"/>
      <c r="AG76" s="174"/>
      <c r="AH76" s="174"/>
      <c r="AI76" s="174"/>
      <c r="AJ76" s="174"/>
      <c r="AK76" s="174"/>
      <c r="AL76" s="174"/>
      <c r="AM76" s="174"/>
      <c r="AN76" s="174"/>
      <c r="AO76" s="174"/>
    </row>
    <row r="77" spans="1:41" ht="15.75" customHeight="1">
      <c r="A77" s="139" t="s">
        <v>622</v>
      </c>
      <c r="B77" s="168">
        <f>('Pivot Table for Data Exchange'!$D$150)*100</f>
        <v>94.081041326315031</v>
      </c>
      <c r="C77" s="168">
        <f>('Pivot Table for Data Exchange'!$D$153)*100</f>
        <v>3.490690421602046</v>
      </c>
      <c r="D77" s="169">
        <f t="shared" ref="D77:D80" si="16">SUM(E77:G77)</f>
        <v>2.4282682520829204</v>
      </c>
      <c r="E77" s="168">
        <f>('Pivot Table for Data Exchange'!$D$156)*100</f>
        <v>2.4282682520829204</v>
      </c>
      <c r="F77" s="168">
        <f>('Pivot Table for Data Exchange'!$D$159)*100</f>
        <v>0</v>
      </c>
      <c r="G77" s="176">
        <f>('Pivot Table for Data Exchange'!$D$162)*100</f>
        <v>0</v>
      </c>
      <c r="H77" s="168">
        <f>('Pivot Table for Data Exchange'!$D$165)*100</f>
        <v>0</v>
      </c>
      <c r="I77" s="174" t="s">
        <v>622</v>
      </c>
      <c r="J77" s="168">
        <f>('Pivot Table for Data Exchange'!$D$168)*100</f>
        <v>65.986664201508091</v>
      </c>
      <c r="K77" s="168">
        <f>('Pivot Table for Data Exchange'!$D$171)*100</f>
        <v>0.81563052416099258</v>
      </c>
      <c r="L77" s="169">
        <f t="shared" ref="L77:L80" si="17">SUM(M77:O77)</f>
        <v>33.197705274330914</v>
      </c>
      <c r="M77" s="168">
        <f>('Pivot Table for Data Exchange'!$D$174)*100</f>
        <v>33.197705274330914</v>
      </c>
      <c r="N77" s="168">
        <f>('Pivot Table for Data Exchange'!$D$177)*100</f>
        <v>0</v>
      </c>
      <c r="O77" s="176">
        <f>('Pivot Table for Data Exchange'!$D$180)*100</f>
        <v>0</v>
      </c>
      <c r="P77" s="168">
        <f>('Pivot Table for Data Exchange'!$D$183)*100</f>
        <v>0</v>
      </c>
      <c r="Q77" s="173">
        <f t="shared" si="14"/>
        <v>99.999999999999986</v>
      </c>
      <c r="R77" s="173">
        <f t="shared" si="15"/>
        <v>100</v>
      </c>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row>
    <row r="78" spans="1:41" ht="15.75" customHeight="1">
      <c r="A78" s="139" t="s">
        <v>623</v>
      </c>
      <c r="B78" s="168">
        <f>('Pivot Table for Data Exchange'!$D$186)*100</f>
        <v>0</v>
      </c>
      <c r="C78" s="168">
        <f>('Pivot Table for Data Exchange'!$D$189)*100</f>
        <v>0</v>
      </c>
      <c r="D78" s="169">
        <f t="shared" si="16"/>
        <v>0</v>
      </c>
      <c r="E78" s="168">
        <f>('Pivot Table for Data Exchange'!$D$192)*100</f>
        <v>0</v>
      </c>
      <c r="F78" s="168">
        <f>('Pivot Table for Data Exchange'!$D$195)*100</f>
        <v>0</v>
      </c>
      <c r="G78" s="176">
        <f>('Pivot Table for Data Exchange'!$D$198)*100</f>
        <v>0</v>
      </c>
      <c r="H78" s="168">
        <f>('Pivot Table for Data Exchange'!$D$201)*100</f>
        <v>0</v>
      </c>
      <c r="I78" s="174" t="s">
        <v>623</v>
      </c>
      <c r="J78" s="168">
        <f>('Pivot Table for Data Exchange'!$D$204)*100</f>
        <v>0</v>
      </c>
      <c r="K78" s="168">
        <f>('Pivot Table for Data Exchange'!$D$207)*100</f>
        <v>0</v>
      </c>
      <c r="L78" s="169">
        <f t="shared" si="17"/>
        <v>0</v>
      </c>
      <c r="M78" s="168">
        <f>('Pivot Table for Data Exchange'!$D$210)*100</f>
        <v>0</v>
      </c>
      <c r="N78" s="168">
        <f>('Pivot Table for Data Exchange'!$D$213)*100</f>
        <v>0</v>
      </c>
      <c r="O78" s="176">
        <f>('Pivot Table for Data Exchange'!$D$216)*100</f>
        <v>0</v>
      </c>
      <c r="P78" s="168">
        <f>('Pivot Table for Data Exchange'!$D$219)*100</f>
        <v>0</v>
      </c>
      <c r="Q78" s="173">
        <f t="shared" si="14"/>
        <v>0</v>
      </c>
      <c r="R78" s="173">
        <f t="shared" si="15"/>
        <v>0</v>
      </c>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row>
    <row r="79" spans="1:41" ht="15.75" customHeight="1">
      <c r="A79" s="139" t="s">
        <v>624</v>
      </c>
      <c r="B79" s="168">
        <f>('Pivot Table for Data Exchange'!$D$222)*100</f>
        <v>85.959798666307606</v>
      </c>
      <c r="C79" s="168">
        <f>('Pivot Table for Data Exchange'!$D$225)*100</f>
        <v>0</v>
      </c>
      <c r="D79" s="169">
        <f t="shared" si="16"/>
        <v>14.040201333692389</v>
      </c>
      <c r="E79" s="168">
        <f>('Pivot Table for Data Exchange'!$D$228)*100</f>
        <v>14.040201333692389</v>
      </c>
      <c r="F79" s="168">
        <f>('Pivot Table for Data Exchange'!$D$231)*100</f>
        <v>0</v>
      </c>
      <c r="G79" s="176">
        <f>('Pivot Table for Data Exchange'!$D$234)*100</f>
        <v>0</v>
      </c>
      <c r="H79" s="168">
        <f>('Pivot Table for Data Exchange'!$D$237)*100</f>
        <v>0</v>
      </c>
      <c r="I79" s="174" t="s">
        <v>624</v>
      </c>
      <c r="J79" s="168">
        <f>('Pivot Table for Data Exchange'!$D$240)*100</f>
        <v>79.261582929475878</v>
      </c>
      <c r="K79" s="168">
        <f>('Pivot Table for Data Exchange'!$D$243)*100</f>
        <v>0</v>
      </c>
      <c r="L79" s="169">
        <f t="shared" si="17"/>
        <v>20.738417070524108</v>
      </c>
      <c r="M79" s="168">
        <f>('Pivot Table for Data Exchange'!$D$246)*100</f>
        <v>20.738417070524108</v>
      </c>
      <c r="N79" s="168">
        <f>('Pivot Table for Data Exchange'!$D$249)*100</f>
        <v>0</v>
      </c>
      <c r="O79" s="176">
        <f>('Pivot Table for Data Exchange'!$D$252)*100</f>
        <v>0</v>
      </c>
      <c r="P79" s="168">
        <f>('Pivot Table for Data Exchange'!$D$255)*100</f>
        <v>0</v>
      </c>
      <c r="Q79" s="173">
        <f t="shared" si="14"/>
        <v>100</v>
      </c>
      <c r="R79" s="173">
        <f t="shared" si="15"/>
        <v>99.999999999999986</v>
      </c>
      <c r="S79" s="174"/>
      <c r="T79" s="148"/>
      <c r="U79" s="174"/>
      <c r="V79" s="174"/>
      <c r="W79" s="174"/>
      <c r="X79" s="174"/>
      <c r="Y79" s="174"/>
      <c r="Z79" s="174"/>
      <c r="AA79" s="174"/>
      <c r="AB79" s="174"/>
      <c r="AC79" s="174"/>
      <c r="AD79" s="174"/>
      <c r="AE79" s="174"/>
      <c r="AF79" s="174"/>
      <c r="AG79" s="174"/>
      <c r="AH79" s="174"/>
      <c r="AI79" s="174"/>
      <c r="AJ79" s="174"/>
      <c r="AK79" s="174"/>
      <c r="AL79" s="174"/>
      <c r="AM79" s="174"/>
      <c r="AN79" s="174"/>
      <c r="AO79" s="174"/>
    </row>
    <row r="80" spans="1:41" ht="15.75" customHeight="1">
      <c r="A80" s="139" t="s">
        <v>625</v>
      </c>
      <c r="B80" s="168">
        <f>('Pivot Table for Data Exchange'!$D$258)*100</f>
        <v>85.197058136585952</v>
      </c>
      <c r="C80" s="168">
        <f>('Pivot Table for Data Exchange'!$D$261)*100</f>
        <v>1.5220544527410311</v>
      </c>
      <c r="D80" s="169">
        <f t="shared" si="16"/>
        <v>13.280887410673026</v>
      </c>
      <c r="E80" s="168">
        <f>('Pivot Table for Data Exchange'!$D$264)*100</f>
        <v>13.280887410673026</v>
      </c>
      <c r="F80" s="168">
        <f>('Pivot Table for Data Exchange'!$D$267)*100</f>
        <v>0</v>
      </c>
      <c r="G80" s="176">
        <f>('Pivot Table for Data Exchange'!$D$270)*100</f>
        <v>0</v>
      </c>
      <c r="H80" s="168">
        <f>('Pivot Table for Data Exchange'!$D$273)*100</f>
        <v>0</v>
      </c>
      <c r="I80" s="174" t="s">
        <v>625</v>
      </c>
      <c r="J80" s="168">
        <f>('Pivot Table for Data Exchange'!$D$276)*100</f>
        <v>72.955646789608295</v>
      </c>
      <c r="K80" s="168">
        <f>('Pivot Table for Data Exchange'!$D$279)*100</f>
        <v>4.4706555391035128</v>
      </c>
      <c r="L80" s="169">
        <f t="shared" si="17"/>
        <v>22.573697671288194</v>
      </c>
      <c r="M80" s="168">
        <f>('Pivot Table for Data Exchange'!$D$282)*100</f>
        <v>22.573697671288194</v>
      </c>
      <c r="N80" s="168">
        <f>('Pivot Table for Data Exchange'!$D$285)*100</f>
        <v>0</v>
      </c>
      <c r="O80" s="176">
        <f>('Pivot Table for Data Exchange'!$D$288)*100</f>
        <v>0</v>
      </c>
      <c r="P80" s="168">
        <f>('Pivot Table for Data Exchange'!$D$291)*100</f>
        <v>0</v>
      </c>
      <c r="Q80" s="173">
        <f t="shared" si="14"/>
        <v>100.00000000000001</v>
      </c>
      <c r="R80" s="173">
        <f t="shared" si="15"/>
        <v>100</v>
      </c>
      <c r="S80" s="174"/>
      <c r="U80" s="174"/>
      <c r="V80" s="174"/>
      <c r="W80" s="174"/>
      <c r="X80" s="174"/>
      <c r="Y80" s="174"/>
      <c r="Z80" s="174"/>
      <c r="AA80" s="174"/>
      <c r="AB80" s="174"/>
      <c r="AC80" s="174"/>
      <c r="AD80" s="174"/>
      <c r="AE80" s="174"/>
      <c r="AF80" s="174"/>
      <c r="AG80" s="174"/>
      <c r="AH80" s="174"/>
      <c r="AI80" s="174"/>
      <c r="AJ80" s="174"/>
      <c r="AK80" s="174"/>
      <c r="AL80" s="174"/>
      <c r="AM80" s="174"/>
      <c r="AN80" s="174"/>
      <c r="AO80" s="174"/>
    </row>
    <row r="81" spans="1:41" ht="8.25" customHeight="1">
      <c r="B81" s="168"/>
      <c r="C81" s="168"/>
      <c r="D81" s="169"/>
      <c r="E81" s="168"/>
      <c r="F81" s="168"/>
      <c r="G81" s="176"/>
      <c r="H81" s="168"/>
      <c r="I81" s="174"/>
      <c r="J81" s="168"/>
      <c r="K81" s="168"/>
      <c r="L81" s="169"/>
      <c r="M81" s="168"/>
      <c r="N81" s="168"/>
      <c r="O81" s="176"/>
      <c r="P81" s="168"/>
      <c r="Q81" s="173">
        <f t="shared" si="14"/>
        <v>0</v>
      </c>
      <c r="R81" s="173">
        <f t="shared" si="15"/>
        <v>0</v>
      </c>
      <c r="S81" s="174"/>
      <c r="U81" s="174"/>
      <c r="V81" s="174"/>
      <c r="W81" s="174"/>
      <c r="X81" s="174"/>
      <c r="Y81" s="174"/>
      <c r="Z81" s="174"/>
      <c r="AA81" s="174"/>
      <c r="AB81" s="174"/>
      <c r="AC81" s="174"/>
      <c r="AD81" s="174"/>
      <c r="AE81" s="174"/>
      <c r="AF81" s="174"/>
      <c r="AG81" s="174"/>
      <c r="AH81" s="174"/>
      <c r="AI81" s="174"/>
      <c r="AJ81" s="174"/>
      <c r="AK81" s="174"/>
      <c r="AL81" s="174"/>
      <c r="AM81" s="174"/>
      <c r="AN81" s="174"/>
      <c r="AO81" s="174"/>
    </row>
    <row r="82" spans="1:41" ht="15.75" customHeight="1">
      <c r="A82" s="139" t="s">
        <v>626</v>
      </c>
      <c r="B82" s="168">
        <f>('Pivot Table for Data Exchange'!$D$294)*100</f>
        <v>65.607948472745676</v>
      </c>
      <c r="C82" s="168">
        <f>('Pivot Table for Data Exchange'!$D$297)*100</f>
        <v>1.9371941272430668</v>
      </c>
      <c r="D82" s="169">
        <f t="shared" ref="D82:D84" si="18">SUM(E82:G82)</f>
        <v>32.45485740001125</v>
      </c>
      <c r="E82" s="168">
        <f>('Pivot Table for Data Exchange'!$D$300)*100</f>
        <v>32.45485740001125</v>
      </c>
      <c r="F82" s="168">
        <f>('Pivot Table for Data Exchange'!$D$303)*100</f>
        <v>0</v>
      </c>
      <c r="G82" s="176">
        <f>('Pivot Table for Data Exchange'!$D$306)*100</f>
        <v>0</v>
      </c>
      <c r="H82" s="168">
        <f>('Pivot Table for Data Exchange'!$D$309)*100</f>
        <v>0</v>
      </c>
      <c r="I82" s="174" t="s">
        <v>626</v>
      </c>
      <c r="J82" s="168">
        <f>('Pivot Table for Data Exchange'!$D$312)*100</f>
        <v>29.717441821304686</v>
      </c>
      <c r="K82" s="168">
        <f>('Pivot Table for Data Exchange'!$D$315)*100</f>
        <v>16.182265180345539</v>
      </c>
      <c r="L82" s="169">
        <f t="shared" ref="L82:L84" si="19">SUM(M82:O82)</f>
        <v>54.100292998349772</v>
      </c>
      <c r="M82" s="168">
        <f>('Pivot Table for Data Exchange'!$D$318)*100</f>
        <v>54.100292998349772</v>
      </c>
      <c r="N82" s="168">
        <f>('Pivot Table for Data Exchange'!$D$321)*100</f>
        <v>0</v>
      </c>
      <c r="O82" s="176">
        <f>('Pivot Table for Data Exchange'!$D$324)*100</f>
        <v>0</v>
      </c>
      <c r="P82" s="177">
        <f>('Pivot Table for Data Exchange'!$D$327)*100</f>
        <v>0</v>
      </c>
      <c r="Q82" s="173">
        <f t="shared" si="14"/>
        <v>99.999999999999986</v>
      </c>
      <c r="R82" s="173">
        <f t="shared" si="15"/>
        <v>100</v>
      </c>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row>
    <row r="83" spans="1:41" ht="15.75" customHeight="1">
      <c r="A83" s="139" t="s">
        <v>627</v>
      </c>
      <c r="B83" s="168">
        <f>('Pivot Table for Data Exchange'!$D$330)*100</f>
        <v>75.902077530791814</v>
      </c>
      <c r="C83" s="168">
        <f>('Pivot Table for Data Exchange'!$D$333)*100</f>
        <v>0.87127792627432388</v>
      </c>
      <c r="D83" s="169">
        <f t="shared" si="18"/>
        <v>23.226644542933869</v>
      </c>
      <c r="E83" s="168">
        <f>('Pivot Table for Data Exchange'!$D$336)*100</f>
        <v>23.102042598582127</v>
      </c>
      <c r="F83" s="180">
        <f>('Pivot Table for Data Exchange'!$D$339)*100</f>
        <v>0.12460194435174241</v>
      </c>
      <c r="G83" s="176">
        <f>('Pivot Table for Data Exchange'!$D$342)*100</f>
        <v>0</v>
      </c>
      <c r="H83" s="168">
        <f>('Pivot Table for Data Exchange'!$D$345)*100</f>
        <v>0</v>
      </c>
      <c r="I83" s="174" t="s">
        <v>627</v>
      </c>
      <c r="J83" s="168">
        <f>('Pivot Table for Data Exchange'!$D$348)*100</f>
        <v>36.381258243963984</v>
      </c>
      <c r="K83" s="168">
        <f>('Pivot Table for Data Exchange'!$D$351)*100</f>
        <v>1.4497906750014338</v>
      </c>
      <c r="L83" s="169">
        <f t="shared" si="19"/>
        <v>62.168951081034578</v>
      </c>
      <c r="M83" s="168">
        <f>('Pivot Table for Data Exchange'!$D$354)*100</f>
        <v>62.141423409990246</v>
      </c>
      <c r="N83" s="180">
        <f>('Pivot Table for Data Exchange'!$D$357)*100</f>
        <v>2.7527671044331022E-2</v>
      </c>
      <c r="O83" s="176">
        <f>('Pivot Table for Data Exchange'!$D$360)*100</f>
        <v>0</v>
      </c>
      <c r="P83" s="168">
        <f>('Pivot Table for Data Exchange'!$D$363)*100</f>
        <v>0</v>
      </c>
      <c r="Q83" s="173">
        <f t="shared" si="14"/>
        <v>100</v>
      </c>
      <c r="R83" s="173">
        <f t="shared" si="15"/>
        <v>100</v>
      </c>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row>
    <row r="84" spans="1:41" ht="15.75" customHeight="1">
      <c r="A84" s="139" t="s">
        <v>628</v>
      </c>
      <c r="B84" s="168">
        <f>('Pivot Table for Data Exchange'!$D$366)*100</f>
        <v>0</v>
      </c>
      <c r="C84" s="168">
        <f>('Pivot Table for Data Exchange'!$D$369)*100</f>
        <v>0</v>
      </c>
      <c r="D84" s="169">
        <f t="shared" si="18"/>
        <v>0</v>
      </c>
      <c r="E84" s="168">
        <f>('Pivot Table for Data Exchange'!$D$372)*100</f>
        <v>0</v>
      </c>
      <c r="F84" s="168">
        <f>('Pivot Table for Data Exchange'!$D$375)*100</f>
        <v>0</v>
      </c>
      <c r="G84" s="176">
        <f>('Pivot Table for Data Exchange'!$D$378)*100</f>
        <v>0</v>
      </c>
      <c r="H84" s="168">
        <f>('Pivot Table for Data Exchange'!$D$381)*100</f>
        <v>0</v>
      </c>
      <c r="I84" s="174" t="s">
        <v>628</v>
      </c>
      <c r="J84" s="168">
        <f>('Pivot Table for Data Exchange'!$D$384)*100</f>
        <v>0</v>
      </c>
      <c r="K84" s="168">
        <f>('Pivot Table for Data Exchange'!$D$387)*100</f>
        <v>0</v>
      </c>
      <c r="L84" s="169">
        <f t="shared" si="19"/>
        <v>0</v>
      </c>
      <c r="M84" s="168">
        <f>('Pivot Table for Data Exchange'!$D$390)*100</f>
        <v>0</v>
      </c>
      <c r="N84" s="168">
        <f>('Pivot Table for Data Exchange'!$D$393)*100</f>
        <v>0</v>
      </c>
      <c r="O84" s="176">
        <f>('Pivot Table for Data Exchange'!$D$396)*100</f>
        <v>0</v>
      </c>
      <c r="P84" s="168">
        <f>('Pivot Table for Data Exchange'!$D$399)*100</f>
        <v>0</v>
      </c>
      <c r="Q84" s="173">
        <f t="shared" si="14"/>
        <v>0</v>
      </c>
      <c r="R84" s="173">
        <f t="shared" si="15"/>
        <v>0</v>
      </c>
      <c r="S84" s="174"/>
      <c r="T84" s="148"/>
      <c r="U84" s="174"/>
      <c r="V84" s="174"/>
      <c r="W84" s="174"/>
      <c r="X84" s="174"/>
      <c r="Y84" s="174"/>
      <c r="Z84" s="174"/>
      <c r="AA84" s="174"/>
      <c r="AB84" s="174"/>
      <c r="AC84" s="174"/>
      <c r="AD84" s="174"/>
      <c r="AE84" s="174"/>
      <c r="AF84" s="174"/>
      <c r="AG84" s="174"/>
      <c r="AH84" s="174"/>
      <c r="AI84" s="174"/>
      <c r="AJ84" s="174"/>
      <c r="AK84" s="174"/>
      <c r="AL84" s="174"/>
      <c r="AM84" s="174"/>
      <c r="AN84" s="174"/>
      <c r="AO84" s="174"/>
    </row>
    <row r="85" spans="1:41" ht="15.75" customHeight="1">
      <c r="A85" s="139" t="s">
        <v>629</v>
      </c>
      <c r="B85" s="168">
        <f>('Pivot Table for Data Exchange'!$D$402)*100</f>
        <v>0</v>
      </c>
      <c r="C85" s="168">
        <f>('Pivot Table for Data Exchange'!$D$405)*100</f>
        <v>0</v>
      </c>
      <c r="D85" s="169">
        <f>SUM(E85:G85)</f>
        <v>0</v>
      </c>
      <c r="E85" s="168">
        <f>('Pivot Table for Data Exchange'!$D$408)*100</f>
        <v>0</v>
      </c>
      <c r="F85" s="168">
        <f>('Pivot Table for Data Exchange'!$D$411)*100</f>
        <v>0</v>
      </c>
      <c r="G85" s="176">
        <f>('Pivot Table for Data Exchange'!$D$414)*100</f>
        <v>0</v>
      </c>
      <c r="H85" s="168">
        <f>('Pivot Table for Data Exchange'!$D$417)*100</f>
        <v>0</v>
      </c>
      <c r="I85" s="174" t="s">
        <v>629</v>
      </c>
      <c r="J85" s="168">
        <f>('Pivot Table for Data Exchange'!$D$420)*100</f>
        <v>0</v>
      </c>
      <c r="K85" s="168">
        <f>('Pivot Table for Data Exchange'!$D$423)*100</f>
        <v>0</v>
      </c>
      <c r="L85" s="169">
        <f>SUM(M85:O85)</f>
        <v>0</v>
      </c>
      <c r="M85" s="168">
        <f>('Pivot Table for Data Exchange'!$D$426)*100</f>
        <v>0</v>
      </c>
      <c r="N85" s="168">
        <f>('Pivot Table for Data Exchange'!$D$429)*100</f>
        <v>0</v>
      </c>
      <c r="O85" s="176">
        <f>('Pivot Table for Data Exchange'!$D$432)*100</f>
        <v>0</v>
      </c>
      <c r="P85" s="168">
        <f>('Pivot Table for Data Exchange'!$D$435)*100</f>
        <v>0</v>
      </c>
      <c r="Q85" s="173">
        <f t="shared" si="14"/>
        <v>0</v>
      </c>
      <c r="R85" s="173">
        <f t="shared" si="15"/>
        <v>0</v>
      </c>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row>
    <row r="86" spans="1:41" ht="8.25" customHeight="1">
      <c r="B86" s="168"/>
      <c r="C86" s="168"/>
      <c r="D86" s="169"/>
      <c r="E86" s="168"/>
      <c r="F86" s="168"/>
      <c r="G86" s="176"/>
      <c r="H86" s="168"/>
      <c r="I86" s="174"/>
      <c r="J86" s="168"/>
      <c r="K86" s="168"/>
      <c r="L86" s="169"/>
      <c r="M86" s="168"/>
      <c r="N86" s="168"/>
      <c r="O86" s="176"/>
      <c r="P86" s="168"/>
      <c r="Q86" s="173">
        <f t="shared" si="14"/>
        <v>0</v>
      </c>
      <c r="R86" s="173">
        <f t="shared" si="15"/>
        <v>0</v>
      </c>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row>
    <row r="87" spans="1:41" ht="15.75" customHeight="1">
      <c r="A87" s="139" t="s">
        <v>630</v>
      </c>
      <c r="B87" s="168">
        <f>('Pivot Table for Data Exchange'!$D$438)*100</f>
        <v>71.377915360682124</v>
      </c>
      <c r="C87" s="168">
        <f>('Pivot Table for Data Exchange'!$D$441)*100</f>
        <v>4.0051356216730776</v>
      </c>
      <c r="D87" s="169">
        <f>SUM(E87:G87)</f>
        <v>23.879802994871707</v>
      </c>
      <c r="E87" s="168">
        <f>('Pivot Table for Data Exchange'!$D$444)*100</f>
        <v>19.060549859199767</v>
      </c>
      <c r="F87" s="168">
        <f>('Pivot Table for Data Exchange'!$D$447)*100</f>
        <v>0.94680170363567251</v>
      </c>
      <c r="G87" s="176">
        <f>('Pivot Table for Data Exchange'!$D$450)*100</f>
        <v>3.8724514320362675</v>
      </c>
      <c r="H87" s="168">
        <f>('Pivot Table for Data Exchange'!$D$453)*100</f>
        <v>0.73714602277308916</v>
      </c>
      <c r="I87" s="174" t="s">
        <v>630</v>
      </c>
      <c r="J87" s="168">
        <f>('Pivot Table for Data Exchange'!$D$456)*100</f>
        <v>44.346636874951848</v>
      </c>
      <c r="K87" s="168">
        <f>('Pivot Table for Data Exchange'!$D$459)*100</f>
        <v>8.4001078665536628</v>
      </c>
      <c r="L87" s="169">
        <f>SUM(M87:O87)</f>
        <v>42.849988442869254</v>
      </c>
      <c r="M87" s="168">
        <f>('Pivot Table for Data Exchange'!$D$462)*100</f>
        <v>39.701633407812622</v>
      </c>
      <c r="N87" s="168">
        <f>('Pivot Table for Data Exchange'!$D$465)*100</f>
        <v>0.31782109561599503</v>
      </c>
      <c r="O87" s="176">
        <f>('Pivot Table for Data Exchange'!$D$468)*100</f>
        <v>2.830533939440635</v>
      </c>
      <c r="P87" s="168">
        <f>('Pivot Table for Data Exchange'!$D$471)*100</f>
        <v>4.4032668156252415</v>
      </c>
      <c r="Q87" s="173">
        <f t="shared" si="14"/>
        <v>100</v>
      </c>
      <c r="R87" s="173">
        <f t="shared" si="15"/>
        <v>100</v>
      </c>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row>
    <row r="88" spans="1:41" ht="15.75" customHeight="1">
      <c r="A88" s="139" t="s">
        <v>631</v>
      </c>
      <c r="B88" s="168">
        <f>('Pivot Table for Data Exchange'!$D$474)*100</f>
        <v>0</v>
      </c>
      <c r="C88" s="168">
        <f>('Pivot Table for Data Exchange'!$D$477)*100</f>
        <v>0</v>
      </c>
      <c r="D88" s="169">
        <f>SUM(E88:G88)</f>
        <v>0</v>
      </c>
      <c r="E88" s="168">
        <f>('Pivot Table for Data Exchange'!$D$480)*100</f>
        <v>0</v>
      </c>
      <c r="F88" s="168">
        <f>('Pivot Table for Data Exchange'!$D$483)*100</f>
        <v>0</v>
      </c>
      <c r="G88" s="175">
        <f>('Pivot Table for Data Exchange'!$D$486)*100</f>
        <v>0</v>
      </c>
      <c r="H88" s="168">
        <f>('Pivot Table for Data Exchange'!$D$489)*100</f>
        <v>0</v>
      </c>
      <c r="I88" s="174" t="s">
        <v>631</v>
      </c>
      <c r="J88" s="168">
        <f>('Pivot Table for Data Exchange'!$D$492)*100</f>
        <v>0</v>
      </c>
      <c r="K88" s="168">
        <f>('Pivot Table for Data Exchange'!$D$495)*100</f>
        <v>0</v>
      </c>
      <c r="L88" s="169">
        <f>SUM(M88:O88)</f>
        <v>0</v>
      </c>
      <c r="M88" s="168">
        <f>('Pivot Table for Data Exchange'!$D$498)*100</f>
        <v>0</v>
      </c>
      <c r="N88" s="168">
        <f>('Pivot Table for Data Exchange'!$D$501)*100</f>
        <v>0</v>
      </c>
      <c r="O88" s="175">
        <f>('Pivot Table for Data Exchange'!$D$504)*100</f>
        <v>0</v>
      </c>
      <c r="P88" s="168">
        <f>('Pivot Table for Data Exchange'!$D$507)*100</f>
        <v>0</v>
      </c>
      <c r="Q88" s="173">
        <f t="shared" si="14"/>
        <v>0</v>
      </c>
      <c r="R88" s="173">
        <f t="shared" si="15"/>
        <v>0</v>
      </c>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row>
    <row r="89" spans="1:41" ht="15.75" customHeight="1">
      <c r="A89" s="139" t="s">
        <v>632</v>
      </c>
      <c r="B89" s="168">
        <f>('Pivot Table for Data Exchange'!$D$510)*100</f>
        <v>96.54237048823336</v>
      </c>
      <c r="C89" s="168">
        <f>('Pivot Table for Data Exchange'!$D$513)*100</f>
        <v>2.8450637682025159</v>
      </c>
      <c r="D89" s="169">
        <f t="shared" ref="D89" si="20">SUM(E89:G89)</f>
        <v>0.61256574356412263</v>
      </c>
      <c r="E89" s="168">
        <f>('Pivot Table for Data Exchange'!$D$516)*100</f>
        <v>0.61256574356412263</v>
      </c>
      <c r="F89" s="180">
        <f>('Pivot Table for Data Exchange'!$D$519)*100</f>
        <v>0</v>
      </c>
      <c r="G89" s="176">
        <f>('Pivot Table for Data Exchange'!$D$522)*100</f>
        <v>0</v>
      </c>
      <c r="H89" s="168">
        <f>('Pivot Table for Data Exchange'!$D$525)*100</f>
        <v>0</v>
      </c>
      <c r="I89" s="174" t="s">
        <v>632</v>
      </c>
      <c r="J89" s="168">
        <f>('Pivot Table for Data Exchange'!$D$528)*100</f>
        <v>76.588335504559581</v>
      </c>
      <c r="K89" s="168">
        <f>('Pivot Table for Data Exchange'!$D$531)*100</f>
        <v>7.5892708020175697</v>
      </c>
      <c r="L89" s="169">
        <f t="shared" ref="L89" si="21">SUM(M89:O89)</f>
        <v>15.822393693422853</v>
      </c>
      <c r="M89" s="168">
        <f>('Pivot Table for Data Exchange'!$D$534)*100</f>
        <v>15.822393693422853</v>
      </c>
      <c r="N89" s="180">
        <f>('Pivot Table for Data Exchange'!$D$537)*100</f>
        <v>0</v>
      </c>
      <c r="O89" s="176">
        <f>('Pivot Table for Data Exchange'!$D$540)*100</f>
        <v>0</v>
      </c>
      <c r="P89" s="168">
        <f>('Pivot Table for Data Exchange'!$D$543)*100</f>
        <v>0</v>
      </c>
      <c r="Q89" s="173">
        <f t="shared" si="14"/>
        <v>100</v>
      </c>
      <c r="R89" s="173">
        <f t="shared" si="15"/>
        <v>100</v>
      </c>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row>
    <row r="90" spans="1:41" ht="15.75" customHeight="1">
      <c r="A90" s="145" t="s">
        <v>633</v>
      </c>
      <c r="B90" s="181">
        <f>('Pivot Table for Data Exchange'!$D$546)*100</f>
        <v>0</v>
      </c>
      <c r="C90" s="181">
        <f>('Pivot Table for Data Exchange'!$D$549)*100</f>
        <v>0</v>
      </c>
      <c r="D90" s="182">
        <f>SUM(E90:G90)</f>
        <v>0</v>
      </c>
      <c r="E90" s="181">
        <f>('Pivot Table for Data Exchange'!$D$552)*100</f>
        <v>0</v>
      </c>
      <c r="F90" s="181">
        <f>('Pivot Table for Data Exchange'!$D$555)*100</f>
        <v>0</v>
      </c>
      <c r="G90" s="183">
        <f>('Pivot Table for Data Exchange'!$D$558)*100</f>
        <v>0</v>
      </c>
      <c r="H90" s="181">
        <f>('Pivot Table for Data Exchange'!$D$561)*100</f>
        <v>0</v>
      </c>
      <c r="I90" s="184" t="s">
        <v>633</v>
      </c>
      <c r="J90" s="181">
        <f>('Pivot Table for Data Exchange'!$D$564)*100</f>
        <v>0</v>
      </c>
      <c r="K90" s="181">
        <f>('Pivot Table for Data Exchange'!$D$567)*100</f>
        <v>0</v>
      </c>
      <c r="L90" s="182">
        <f>SUM(M90:O90)</f>
        <v>0</v>
      </c>
      <c r="M90" s="181">
        <f>('Pivot Table for Data Exchange'!$D$570)*100</f>
        <v>0</v>
      </c>
      <c r="N90" s="181">
        <f>('Pivot Table for Data Exchange'!$D$573)*100</f>
        <v>0</v>
      </c>
      <c r="O90" s="183">
        <f>('Pivot Table for Data Exchange'!$D$576)*100</f>
        <v>0</v>
      </c>
      <c r="P90" s="181">
        <f>('Pivot Table for Data Exchange'!$D$579)*100</f>
        <v>0</v>
      </c>
      <c r="Q90" s="173">
        <f t="shared" si="14"/>
        <v>0</v>
      </c>
      <c r="R90" s="173">
        <f t="shared" si="15"/>
        <v>0</v>
      </c>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row>
    <row r="91" spans="1:41" s="186" customFormat="1" ht="11.25" customHeight="1">
      <c r="A91" s="187" t="s">
        <v>658</v>
      </c>
      <c r="B91" s="188"/>
      <c r="C91" s="188"/>
      <c r="D91" s="189"/>
      <c r="E91" s="188"/>
      <c r="F91" s="189"/>
      <c r="G91" s="189"/>
      <c r="H91" s="188"/>
      <c r="I91" s="187" t="s">
        <v>658</v>
      </c>
      <c r="J91" s="188"/>
      <c r="K91" s="188"/>
      <c r="L91" s="189"/>
      <c r="M91" s="188"/>
      <c r="N91" s="189"/>
      <c r="O91" s="189"/>
      <c r="P91" s="188"/>
      <c r="Q91" s="173"/>
      <c r="R91" s="173"/>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row>
    <row r="92" spans="1:41" s="186" customFormat="1" ht="10.5" customHeight="1">
      <c r="A92" s="191"/>
      <c r="B92" s="200"/>
      <c r="C92" s="200"/>
      <c r="D92" s="141"/>
      <c r="E92" s="200"/>
      <c r="F92" s="200"/>
      <c r="G92" s="200"/>
      <c r="H92" s="200"/>
      <c r="I92" s="191"/>
      <c r="J92" s="200"/>
      <c r="K92" s="200"/>
      <c r="L92" s="141"/>
      <c r="M92" s="200"/>
      <c r="N92" s="200"/>
      <c r="O92" s="200"/>
      <c r="P92" s="200"/>
      <c r="Q92" s="173"/>
      <c r="R92" s="173"/>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row>
    <row r="93" spans="1:41" s="186" customFormat="1" ht="13.5" customHeight="1">
      <c r="A93" s="197"/>
      <c r="B93" s="198"/>
      <c r="H93" s="192" t="s">
        <v>923</v>
      </c>
      <c r="I93" s="197"/>
      <c r="P93" s="192" t="s">
        <v>923</v>
      </c>
      <c r="Q93" s="173"/>
      <c r="R93" s="173"/>
    </row>
    <row r="94" spans="1:41" ht="18">
      <c r="A94" s="134" t="s">
        <v>662</v>
      </c>
      <c r="B94" s="135"/>
      <c r="C94" s="135"/>
      <c r="D94" s="135"/>
      <c r="E94" s="135"/>
      <c r="F94" s="135"/>
      <c r="G94" s="135"/>
      <c r="H94" s="135"/>
      <c r="I94" s="134" t="s">
        <v>663</v>
      </c>
      <c r="J94" s="136"/>
      <c r="K94" s="136"/>
      <c r="L94" s="135"/>
      <c r="M94" s="136"/>
      <c r="N94" s="136"/>
      <c r="O94" s="136"/>
      <c r="P94" s="136"/>
      <c r="Q94" s="173"/>
      <c r="R94" s="173"/>
    </row>
    <row r="95" spans="1:41" ht="13">
      <c r="A95" s="140"/>
      <c r="B95" s="136"/>
      <c r="C95" s="136"/>
      <c r="D95" s="136"/>
      <c r="E95" s="136"/>
      <c r="F95" s="136"/>
      <c r="G95" s="136"/>
      <c r="H95" s="136"/>
      <c r="I95" s="140"/>
      <c r="J95" s="136"/>
      <c r="K95" s="136"/>
      <c r="L95" s="136"/>
      <c r="M95" s="136"/>
      <c r="N95" s="136"/>
      <c r="O95" s="136"/>
      <c r="P95" s="136"/>
      <c r="Q95" s="173"/>
      <c r="R95" s="173"/>
    </row>
    <row r="96" spans="1:41" ht="15.5">
      <c r="A96" s="142" t="s">
        <v>639</v>
      </c>
      <c r="B96" s="136"/>
      <c r="C96" s="136"/>
      <c r="D96" s="136"/>
      <c r="E96" s="136"/>
      <c r="F96" s="136"/>
      <c r="G96" s="136"/>
      <c r="H96" s="136"/>
      <c r="I96" s="142" t="s">
        <v>640</v>
      </c>
      <c r="J96" s="136"/>
      <c r="K96" s="136"/>
      <c r="L96" s="136"/>
      <c r="M96" s="136"/>
      <c r="N96" s="136"/>
      <c r="O96" s="136"/>
      <c r="P96" s="136"/>
      <c r="Q96" s="173"/>
      <c r="R96" s="173"/>
    </row>
    <row r="97" spans="1:41" ht="15.5">
      <c r="A97" s="142" t="s">
        <v>749</v>
      </c>
      <c r="B97" s="136"/>
      <c r="C97" s="136"/>
      <c r="D97" s="136"/>
      <c r="E97" s="136"/>
      <c r="F97" s="136"/>
      <c r="G97" s="136"/>
      <c r="H97" s="136"/>
      <c r="I97" s="142" t="s">
        <v>749</v>
      </c>
      <c r="J97" s="136"/>
      <c r="K97" s="136"/>
      <c r="L97" s="136"/>
      <c r="M97" s="136"/>
      <c r="N97" s="136"/>
      <c r="O97" s="136"/>
      <c r="P97" s="136"/>
      <c r="Q97" s="173"/>
      <c r="R97" s="173"/>
    </row>
    <row r="98" spans="1:41">
      <c r="A98" s="145"/>
      <c r="B98" s="146"/>
      <c r="C98" s="146"/>
      <c r="D98" s="146"/>
      <c r="E98" s="146"/>
      <c r="F98" s="146"/>
      <c r="G98" s="146"/>
      <c r="H98" s="146"/>
      <c r="I98" s="147"/>
      <c r="L98" s="148"/>
      <c r="P98" s="145"/>
      <c r="Q98" s="173"/>
      <c r="R98" s="173"/>
    </row>
    <row r="99" spans="1:41" s="155" customFormat="1">
      <c r="A99" s="150"/>
      <c r="B99" s="485" t="s">
        <v>641</v>
      </c>
      <c r="C99" s="485"/>
      <c r="D99" s="485"/>
      <c r="E99" s="485"/>
      <c r="F99" s="485"/>
      <c r="G99" s="485"/>
      <c r="H99" s="485"/>
      <c r="I99" s="150"/>
      <c r="J99" s="151" t="s">
        <v>641</v>
      </c>
      <c r="K99" s="151"/>
      <c r="L99" s="151"/>
      <c r="M99" s="151"/>
      <c r="N99" s="151"/>
      <c r="O99" s="151"/>
      <c r="P99" s="152"/>
      <c r="Q99" s="173"/>
      <c r="R99" s="173"/>
    </row>
    <row r="100" spans="1:41" s="155" customFormat="1">
      <c r="A100" s="150"/>
      <c r="B100" s="151" t="s">
        <v>642</v>
      </c>
      <c r="C100" s="151"/>
      <c r="D100" s="487" t="s">
        <v>643</v>
      </c>
      <c r="E100" s="485"/>
      <c r="F100" s="485"/>
      <c r="G100" s="485"/>
      <c r="H100" s="158" t="s">
        <v>533</v>
      </c>
      <c r="I100" s="150"/>
      <c r="J100" s="151" t="s">
        <v>642</v>
      </c>
      <c r="K100" s="151"/>
      <c r="L100" s="487" t="s">
        <v>643</v>
      </c>
      <c r="M100" s="485"/>
      <c r="N100" s="485"/>
      <c r="O100" s="485"/>
      <c r="P100" s="158" t="s">
        <v>533</v>
      </c>
      <c r="Q100" s="173"/>
      <c r="R100" s="173"/>
    </row>
    <row r="101" spans="1:41" s="155" customFormat="1" ht="40.5" customHeight="1">
      <c r="A101" s="150"/>
      <c r="B101" s="159" t="s">
        <v>644</v>
      </c>
      <c r="C101" s="160" t="s">
        <v>645</v>
      </c>
      <c r="D101" s="161" t="s">
        <v>646</v>
      </c>
      <c r="E101" s="162" t="s">
        <v>8</v>
      </c>
      <c r="F101" s="159" t="s">
        <v>647</v>
      </c>
      <c r="G101" s="163" t="s">
        <v>656</v>
      </c>
      <c r="H101" s="164" t="s">
        <v>649</v>
      </c>
      <c r="I101" s="150"/>
      <c r="J101" s="159" t="s">
        <v>644</v>
      </c>
      <c r="K101" s="160" t="s">
        <v>645</v>
      </c>
      <c r="L101" s="161" t="s">
        <v>646</v>
      </c>
      <c r="M101" s="162" t="s">
        <v>8</v>
      </c>
      <c r="N101" s="159" t="s">
        <v>647</v>
      </c>
      <c r="O101" s="163" t="s">
        <v>656</v>
      </c>
      <c r="P101" s="164" t="s">
        <v>649</v>
      </c>
      <c r="Q101" s="173"/>
      <c r="R101" s="173"/>
      <c r="T101" s="193"/>
    </row>
    <row r="102" spans="1:41" ht="15.75" customHeight="1">
      <c r="A102" s="194" t="s">
        <v>618</v>
      </c>
      <c r="B102" s="168">
        <f>('Pivot Table for Data Exchange'!$E$6)*100</f>
        <v>72.327911284143568</v>
      </c>
      <c r="C102" s="168">
        <f>('Pivot Table for Data Exchange'!$E$9)*100</f>
        <v>0.3686120655796814</v>
      </c>
      <c r="D102" s="169">
        <f>SUM(E102:G102)</f>
        <v>27.30347665027675</v>
      </c>
      <c r="E102" s="168">
        <f>('Pivot Table for Data Exchange'!$E$12)*100</f>
        <v>26.358499110394749</v>
      </c>
      <c r="F102" s="168">
        <f>('Pivot Table for Data Exchange'!$E$15)*100</f>
        <v>0.94497753988200128</v>
      </c>
      <c r="G102" s="201">
        <f>('Pivot Table for Data Exchange'!$E$18)*100</f>
        <v>0</v>
      </c>
      <c r="H102" s="168">
        <f>('Pivot Table for Data Exchange'!$E$21)*100</f>
        <v>0</v>
      </c>
      <c r="I102" s="171" t="s">
        <v>618</v>
      </c>
      <c r="J102" s="168">
        <f>('Pivot Table for Data Exchange'!$E$24)*100</f>
        <v>39.748582298471035</v>
      </c>
      <c r="K102" s="168">
        <f>('Pivot Table for Data Exchange'!$E$27)*100</f>
        <v>0.87215562414758452</v>
      </c>
      <c r="L102" s="169">
        <f>SUM(M102:O102)</f>
        <v>59.37926207738137</v>
      </c>
      <c r="M102" s="168">
        <f>('Pivot Table for Data Exchange'!$E$30)*100</f>
        <v>57.844914220084696</v>
      </c>
      <c r="N102" s="180">
        <f>('Pivot Table for Data Exchange'!$E$33)*100</f>
        <v>0</v>
      </c>
      <c r="O102" s="172">
        <f>('Pivot Table for Data Exchange'!$E$36)*100</f>
        <v>1.5343478572966764</v>
      </c>
      <c r="P102" s="168">
        <f>('Pivot Table for Data Exchange'!$E$39)*100</f>
        <v>0</v>
      </c>
      <c r="Q102" s="173">
        <f>SUM(B102,C102,D102,H102)</f>
        <v>100</v>
      </c>
      <c r="R102" s="173">
        <f t="shared" si="15"/>
        <v>99.999999999999986</v>
      </c>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row>
    <row r="103" spans="1:41" ht="15.75" customHeight="1">
      <c r="A103" s="139" t="s">
        <v>619</v>
      </c>
      <c r="B103" s="168">
        <f>('Pivot Table for Data Exchange'!$E$42)*100</f>
        <v>71.641295622585716</v>
      </c>
      <c r="C103" s="168">
        <f>('Pivot Table for Data Exchange'!$E$45)*100</f>
        <v>4.989175814657151</v>
      </c>
      <c r="D103" s="169">
        <f t="shared" ref="D103:D105" si="22">SUM(E103:G103)</f>
        <v>23.369528562757132</v>
      </c>
      <c r="E103" s="168">
        <f>('Pivot Table for Data Exchange'!$E$48)*100</f>
        <v>22.849941217466281</v>
      </c>
      <c r="F103" s="168">
        <f>('Pivot Table for Data Exchange'!$E$51)*100</f>
        <v>0.1605444228004819</v>
      </c>
      <c r="G103" s="176">
        <f>('Pivot Table for Data Exchange'!$E$54)*100</f>
        <v>0.35904292249036934</v>
      </c>
      <c r="H103" s="180">
        <f>('Pivot Table for Data Exchange'!$E$57)*100</f>
        <v>0</v>
      </c>
      <c r="I103" s="174" t="s">
        <v>619</v>
      </c>
      <c r="J103" s="168">
        <f>('Pivot Table for Data Exchange'!$E$60)*100</f>
        <v>29.901739363826209</v>
      </c>
      <c r="K103" s="168">
        <f>('Pivot Table for Data Exchange'!$E$63)*100</f>
        <v>0.14729275908796324</v>
      </c>
      <c r="L103" s="169">
        <f t="shared" ref="L103:L105" si="23">SUM(M103:O103)</f>
        <v>69.95096787708583</v>
      </c>
      <c r="M103" s="168">
        <f>('Pivot Table for Data Exchange'!$E$66)*100</f>
        <v>68.009321995064056</v>
      </c>
      <c r="N103" s="168">
        <f>('Pivot Table for Data Exchange'!$E$69)*100</f>
        <v>1.5554115359688918</v>
      </c>
      <c r="O103" s="176">
        <f>('Pivot Table for Data Exchange'!$E$72)*100</f>
        <v>0.38623434605288137</v>
      </c>
      <c r="P103" s="168">
        <f>('Pivot Table for Data Exchange'!$E$75)*100</f>
        <v>0</v>
      </c>
      <c r="Q103" s="173">
        <f t="shared" si="14"/>
        <v>100</v>
      </c>
      <c r="R103" s="173">
        <f t="shared" si="15"/>
        <v>100</v>
      </c>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row>
    <row r="104" spans="1:41" ht="15.75" customHeight="1">
      <c r="A104" s="139" t="s">
        <v>620</v>
      </c>
      <c r="B104" s="168">
        <f>('Pivot Table for Data Exchange'!$E$78)*100</f>
        <v>88.16885357229279</v>
      </c>
      <c r="C104" s="168">
        <f>('Pivot Table for Data Exchange'!$E$81)*100</f>
        <v>0</v>
      </c>
      <c r="D104" s="169">
        <f t="shared" si="22"/>
        <v>11.831146427707223</v>
      </c>
      <c r="E104" s="168">
        <f>('Pivot Table for Data Exchange'!$E$84)*100</f>
        <v>11.831146427707223</v>
      </c>
      <c r="F104" s="168">
        <f>('Pivot Table for Data Exchange'!$E$87)*100</f>
        <v>0</v>
      </c>
      <c r="G104" s="176">
        <f>('Pivot Table for Data Exchange'!$E$90)*100</f>
        <v>0</v>
      </c>
      <c r="H104" s="168">
        <f>('Pivot Table for Data Exchange'!$E$93)*100</f>
        <v>0</v>
      </c>
      <c r="I104" s="174" t="s">
        <v>620</v>
      </c>
      <c r="J104" s="168">
        <f>('Pivot Table for Data Exchange'!$E$96)*100</f>
        <v>67.651525610934698</v>
      </c>
      <c r="K104" s="168">
        <f>('Pivot Table for Data Exchange'!$E$99)*100</f>
        <v>0</v>
      </c>
      <c r="L104" s="169">
        <f t="shared" si="23"/>
        <v>32.348474389065309</v>
      </c>
      <c r="M104" s="168">
        <f>('Pivot Table for Data Exchange'!$E$102)*100</f>
        <v>32.348474389065309</v>
      </c>
      <c r="N104" s="168">
        <f>('Pivot Table for Data Exchange'!$E$105)*100</f>
        <v>0</v>
      </c>
      <c r="O104" s="176">
        <f>('Pivot Table for Data Exchange'!$E$108)*100</f>
        <v>0</v>
      </c>
      <c r="P104" s="168">
        <f>('Pivot Table for Data Exchange'!$E$111)*100</f>
        <v>0</v>
      </c>
      <c r="Q104" s="173">
        <f t="shared" si="14"/>
        <v>100.00000000000001</v>
      </c>
      <c r="R104" s="173">
        <f t="shared" si="15"/>
        <v>100</v>
      </c>
      <c r="S104" s="174"/>
      <c r="T104" s="148"/>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row>
    <row r="105" spans="1:41" ht="15.75" customHeight="1">
      <c r="A105" s="139" t="s">
        <v>657</v>
      </c>
      <c r="B105" s="168">
        <f>('Pivot Table for Data Exchange'!$E$114)*100</f>
        <v>0</v>
      </c>
      <c r="C105" s="168">
        <f>('Pivot Table for Data Exchange'!$E$117)*100</f>
        <v>0</v>
      </c>
      <c r="D105" s="169">
        <f t="shared" si="22"/>
        <v>0</v>
      </c>
      <c r="E105" s="168">
        <f>('Pivot Table for Data Exchange'!$E$120)*100</f>
        <v>0</v>
      </c>
      <c r="F105" s="168">
        <f>('Pivot Table for Data Exchange'!$E$123)*100</f>
        <v>0</v>
      </c>
      <c r="G105" s="176">
        <f>('Pivot Table for Data Exchange'!$E$126)*100</f>
        <v>0</v>
      </c>
      <c r="H105" s="168">
        <f>('Pivot Table for Data Exchange'!$E$129)*100</f>
        <v>0</v>
      </c>
      <c r="I105" s="174" t="s">
        <v>657</v>
      </c>
      <c r="J105" s="168">
        <f>('Pivot Table for Data Exchange'!$E$132)*100</f>
        <v>0</v>
      </c>
      <c r="K105" s="168">
        <f>('Pivot Table for Data Exchange'!$E$135)*100</f>
        <v>0</v>
      </c>
      <c r="L105" s="169">
        <f t="shared" si="23"/>
        <v>0</v>
      </c>
      <c r="M105" s="168">
        <f>('Pivot Table for Data Exchange'!$E$138)*100</f>
        <v>0</v>
      </c>
      <c r="N105" s="168">
        <f>('Pivot Table for Data Exchange'!$E$141)*100</f>
        <v>0</v>
      </c>
      <c r="O105" s="176">
        <f>('Pivot Table for Data Exchange'!$E$144)*100</f>
        <v>0</v>
      </c>
      <c r="P105" s="168">
        <f>('Pivot Table for Data Exchange'!$E$147)*100</f>
        <v>0</v>
      </c>
      <c r="Q105" s="173">
        <f t="shared" si="14"/>
        <v>0</v>
      </c>
      <c r="R105" s="173">
        <f t="shared" si="15"/>
        <v>0</v>
      </c>
      <c r="S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row>
    <row r="106" spans="1:41" ht="11.25" customHeight="1">
      <c r="B106" s="168"/>
      <c r="C106" s="168"/>
      <c r="D106" s="169"/>
      <c r="E106" s="168"/>
      <c r="F106" s="168"/>
      <c r="G106" s="176"/>
      <c r="H106" s="168"/>
      <c r="I106" s="174"/>
      <c r="J106" s="168"/>
      <c r="K106" s="168"/>
      <c r="L106" s="169"/>
      <c r="M106" s="168"/>
      <c r="N106" s="168"/>
      <c r="O106" s="176"/>
      <c r="P106" s="168"/>
      <c r="Q106" s="173">
        <f t="shared" si="14"/>
        <v>0</v>
      </c>
      <c r="R106" s="173">
        <f t="shared" si="15"/>
        <v>0</v>
      </c>
      <c r="S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row>
    <row r="107" spans="1:41" ht="15.75" customHeight="1">
      <c r="A107" s="139" t="s">
        <v>622</v>
      </c>
      <c r="B107" s="168">
        <f>('Pivot Table for Data Exchange'!$E$150)*100</f>
        <v>70.409439160180412</v>
      </c>
      <c r="C107" s="168">
        <f>('Pivot Table for Data Exchange'!$E$153)*100</f>
        <v>1.0415935505139229</v>
      </c>
      <c r="D107" s="169">
        <f t="shared" ref="D107:D110" si="24">SUM(E107:G107)</f>
        <v>28.548967289305672</v>
      </c>
      <c r="E107" s="168">
        <f>('Pivot Table for Data Exchange'!$E$156)*100</f>
        <v>28.524956953243258</v>
      </c>
      <c r="F107" s="168">
        <f>('Pivot Table for Data Exchange'!$E$159)*100</f>
        <v>1.9508398050709249E-2</v>
      </c>
      <c r="G107" s="176">
        <f>('Pivot Table for Data Exchange'!$E$162)*100</f>
        <v>4.5019380117021345E-3</v>
      </c>
      <c r="H107" s="168">
        <f>('Pivot Table for Data Exchange'!$E$165)*100</f>
        <v>0</v>
      </c>
      <c r="I107" s="174" t="s">
        <v>622</v>
      </c>
      <c r="J107" s="168">
        <f>('Pivot Table for Data Exchange'!$E$168)*100</f>
        <v>29.455654165123523</v>
      </c>
      <c r="K107" s="168">
        <f>('Pivot Table for Data Exchange'!$E$171)*100</f>
        <v>0.88941553164225162</v>
      </c>
      <c r="L107" s="169">
        <f t="shared" ref="L107:L110" si="25">SUM(M107:O107)</f>
        <v>69.654930303234224</v>
      </c>
      <c r="M107" s="168">
        <f>('Pivot Table for Data Exchange'!$E$174)*100</f>
        <v>69.639400825697621</v>
      </c>
      <c r="N107" s="168">
        <f>('Pivot Table for Data Exchange'!$E$177)*100</f>
        <v>1.2705936166317879E-2</v>
      </c>
      <c r="O107" s="176">
        <f>('Pivot Table for Data Exchange'!$E$180)*100</f>
        <v>2.8235413702928625E-3</v>
      </c>
      <c r="P107" s="168">
        <f>('Pivot Table for Data Exchange'!$E$183)*100</f>
        <v>0</v>
      </c>
      <c r="Q107" s="173">
        <f t="shared" si="14"/>
        <v>100</v>
      </c>
      <c r="R107" s="173">
        <f t="shared" si="15"/>
        <v>100</v>
      </c>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row>
    <row r="108" spans="1:41" ht="15.75" customHeight="1">
      <c r="A108" s="139" t="s">
        <v>623</v>
      </c>
      <c r="B108" s="168">
        <f>('Pivot Table for Data Exchange'!$E$186)*100</f>
        <v>71.476379230825899</v>
      </c>
      <c r="C108" s="168">
        <f>('Pivot Table for Data Exchange'!$E$189)*100</f>
        <v>5.7630027682678264</v>
      </c>
      <c r="D108" s="169">
        <f t="shared" si="24"/>
        <v>22.760618000906273</v>
      </c>
      <c r="E108" s="168">
        <f>('Pivot Table for Data Exchange'!$E$192)*100</f>
        <v>21.342137248088132</v>
      </c>
      <c r="F108" s="168">
        <f>('Pivot Table for Data Exchange'!$E$195)*100</f>
        <v>1.411147147446173</v>
      </c>
      <c r="G108" s="176">
        <f>('Pivot Table for Data Exchange'!$E$198)*100</f>
        <v>7.3336053719668557E-3</v>
      </c>
      <c r="H108" s="168">
        <f>('Pivot Table for Data Exchange'!$E$201)*100</f>
        <v>0</v>
      </c>
      <c r="I108" s="174" t="s">
        <v>623</v>
      </c>
      <c r="J108" s="168">
        <f>('Pivot Table for Data Exchange'!$E$204)*100</f>
        <v>36.331841946660418</v>
      </c>
      <c r="K108" s="168">
        <f>('Pivot Table for Data Exchange'!$E$207)*100</f>
        <v>3.5891254457088739</v>
      </c>
      <c r="L108" s="169">
        <f t="shared" si="25"/>
        <v>60.079032607630722</v>
      </c>
      <c r="M108" s="168">
        <f>('Pivot Table for Data Exchange'!$E$210)*100</f>
        <v>59.852801026058202</v>
      </c>
      <c r="N108" s="168">
        <f>('Pivot Table for Data Exchange'!$E$213)*100</f>
        <v>0.2084180712124766</v>
      </c>
      <c r="O108" s="175">
        <f>('Pivot Table for Data Exchange'!$E$216)*100</f>
        <v>1.7813510360040734E-2</v>
      </c>
      <c r="P108" s="168">
        <f>('Pivot Table for Data Exchange'!$E$219)*100</f>
        <v>0</v>
      </c>
      <c r="Q108" s="173">
        <f t="shared" si="14"/>
        <v>100</v>
      </c>
      <c r="R108" s="173">
        <f t="shared" si="15"/>
        <v>100.00000000000001</v>
      </c>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row>
    <row r="109" spans="1:41" ht="15.75" customHeight="1">
      <c r="A109" s="139" t="s">
        <v>624</v>
      </c>
      <c r="B109" s="168">
        <f>('Pivot Table for Data Exchange'!$E$222)*100</f>
        <v>80.049235654900983</v>
      </c>
      <c r="C109" s="168">
        <f>('Pivot Table for Data Exchange'!$E$225)*100</f>
        <v>0</v>
      </c>
      <c r="D109" s="169">
        <f t="shared" si="24"/>
        <v>19.950764345099021</v>
      </c>
      <c r="E109" s="168">
        <f>('Pivot Table for Data Exchange'!$E$228)*100</f>
        <v>19.950764345099021</v>
      </c>
      <c r="F109" s="168">
        <f>('Pivot Table for Data Exchange'!$E$231)*100</f>
        <v>0</v>
      </c>
      <c r="G109" s="176">
        <f>('Pivot Table for Data Exchange'!$E$234)*100</f>
        <v>0</v>
      </c>
      <c r="H109" s="168">
        <f>('Pivot Table for Data Exchange'!$E$237)*100</f>
        <v>0</v>
      </c>
      <c r="I109" s="174" t="s">
        <v>624</v>
      </c>
      <c r="J109" s="168">
        <f>('Pivot Table for Data Exchange'!$E$240)*100</f>
        <v>55.141201916664151</v>
      </c>
      <c r="K109" s="168">
        <f>('Pivot Table for Data Exchange'!$E$243)*100</f>
        <v>0</v>
      </c>
      <c r="L109" s="169">
        <f t="shared" si="25"/>
        <v>44.858798083335856</v>
      </c>
      <c r="M109" s="168">
        <f>('Pivot Table for Data Exchange'!$E$246)*100</f>
        <v>44.858798083335856</v>
      </c>
      <c r="N109" s="168">
        <f>('Pivot Table for Data Exchange'!$E$249)*100</f>
        <v>0</v>
      </c>
      <c r="O109" s="176">
        <f>('Pivot Table for Data Exchange'!$E$252)*100</f>
        <v>0</v>
      </c>
      <c r="P109" s="168">
        <f>('Pivot Table for Data Exchange'!$E$255)*100</f>
        <v>0</v>
      </c>
      <c r="Q109" s="173">
        <f t="shared" si="14"/>
        <v>100</v>
      </c>
      <c r="R109" s="173">
        <f t="shared" si="15"/>
        <v>100</v>
      </c>
      <c r="S109" s="174"/>
      <c r="T109" s="148"/>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row>
    <row r="110" spans="1:41" ht="15.75" customHeight="1">
      <c r="A110" s="139" t="s">
        <v>625</v>
      </c>
      <c r="B110" s="168">
        <f>('Pivot Table for Data Exchange'!$E$258)*100</f>
        <v>84.151036702466683</v>
      </c>
      <c r="C110" s="168">
        <f>('Pivot Table for Data Exchange'!$E$261)*100</f>
        <v>2.1944461383344764</v>
      </c>
      <c r="D110" s="169">
        <f t="shared" si="24"/>
        <v>13.654517159198839</v>
      </c>
      <c r="E110" s="168">
        <f>('Pivot Table for Data Exchange'!$E$264)*100</f>
        <v>13.645495454480905</v>
      </c>
      <c r="F110" s="168">
        <f>('Pivot Table for Data Exchange'!$E$267)*100</f>
        <v>9.0217047179338965E-3</v>
      </c>
      <c r="G110" s="176">
        <f>('Pivot Table for Data Exchange'!$E$270)*100</f>
        <v>0</v>
      </c>
      <c r="H110" s="168">
        <f>('Pivot Table for Data Exchange'!$E$273)*100</f>
        <v>0</v>
      </c>
      <c r="I110" s="174" t="s">
        <v>625</v>
      </c>
      <c r="J110" s="168">
        <f>('Pivot Table for Data Exchange'!$E$276)*100</f>
        <v>65.819849259473997</v>
      </c>
      <c r="K110" s="168">
        <f>('Pivot Table for Data Exchange'!$E$279)*100</f>
        <v>9.5820376324250258</v>
      </c>
      <c r="L110" s="169">
        <f t="shared" si="25"/>
        <v>24.598113108100986</v>
      </c>
      <c r="M110" s="168">
        <f>('Pivot Table for Data Exchange'!$E$282)*100</f>
        <v>24.598113108100986</v>
      </c>
      <c r="N110" s="168">
        <f>('Pivot Table for Data Exchange'!$E$285)*100</f>
        <v>0</v>
      </c>
      <c r="O110" s="176">
        <f>('Pivot Table for Data Exchange'!$E$288)*100</f>
        <v>0</v>
      </c>
      <c r="P110" s="168">
        <f>('Pivot Table for Data Exchange'!$E$291)*100</f>
        <v>0</v>
      </c>
      <c r="Q110" s="173">
        <f t="shared" si="14"/>
        <v>100</v>
      </c>
      <c r="R110" s="173">
        <f t="shared" si="15"/>
        <v>100.00000000000001</v>
      </c>
      <c r="S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row>
    <row r="111" spans="1:41" ht="11.25" customHeight="1">
      <c r="B111" s="168"/>
      <c r="C111" s="168"/>
      <c r="D111" s="169"/>
      <c r="E111" s="168"/>
      <c r="F111" s="168"/>
      <c r="G111" s="176"/>
      <c r="H111" s="168"/>
      <c r="I111" s="174"/>
      <c r="J111" s="168"/>
      <c r="K111" s="168"/>
      <c r="L111" s="169"/>
      <c r="M111" s="168"/>
      <c r="N111" s="168"/>
      <c r="O111" s="176"/>
      <c r="P111" s="168"/>
      <c r="Q111" s="173">
        <f t="shared" si="14"/>
        <v>0</v>
      </c>
      <c r="R111" s="173">
        <f t="shared" si="15"/>
        <v>0</v>
      </c>
      <c r="S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row>
    <row r="112" spans="1:41" ht="15.75" customHeight="1">
      <c r="A112" s="139" t="s">
        <v>626</v>
      </c>
      <c r="B112" s="168">
        <f>('Pivot Table for Data Exchange'!$E$294)*100</f>
        <v>0</v>
      </c>
      <c r="C112" s="168">
        <f>('Pivot Table for Data Exchange'!$E$297)*100</f>
        <v>0</v>
      </c>
      <c r="D112" s="169">
        <f t="shared" ref="D112:D114" si="26">SUM(E112:G112)</f>
        <v>0</v>
      </c>
      <c r="E112" s="168">
        <f>('Pivot Table for Data Exchange'!$E$300)*100</f>
        <v>0</v>
      </c>
      <c r="F112" s="168">
        <f>('Pivot Table for Data Exchange'!$E$303)*100</f>
        <v>0</v>
      </c>
      <c r="G112" s="176">
        <f>('Pivot Table for Data Exchange'!$E$306)*100</f>
        <v>0</v>
      </c>
      <c r="H112" s="168">
        <f>('Pivot Table for Data Exchange'!$E$309)*100</f>
        <v>0</v>
      </c>
      <c r="I112" s="174" t="s">
        <v>626</v>
      </c>
      <c r="J112" s="168">
        <f>('Pivot Table for Data Exchange'!$E$312)*100</f>
        <v>0</v>
      </c>
      <c r="K112" s="168">
        <f>('Pivot Table for Data Exchange'!$E$315)*100</f>
        <v>0</v>
      </c>
      <c r="L112" s="169">
        <f t="shared" ref="L112:L114" si="27">SUM(M112:O112)</f>
        <v>0</v>
      </c>
      <c r="M112" s="168">
        <f>('Pivot Table for Data Exchange'!$E$318)*100</f>
        <v>0</v>
      </c>
      <c r="N112" s="168">
        <f>('Pivot Table for Data Exchange'!$E$321)*100</f>
        <v>0</v>
      </c>
      <c r="O112" s="176">
        <f>('Pivot Table for Data Exchange'!$E$324)*100</f>
        <v>0</v>
      </c>
      <c r="P112" s="168">
        <f>('Pivot Table for Data Exchange'!$E$327)*100</f>
        <v>0</v>
      </c>
      <c r="Q112" s="173">
        <f t="shared" si="14"/>
        <v>0</v>
      </c>
      <c r="R112" s="173">
        <f t="shared" si="15"/>
        <v>0</v>
      </c>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row>
    <row r="113" spans="1:41" ht="15.75" customHeight="1">
      <c r="A113" s="139" t="s">
        <v>627</v>
      </c>
      <c r="B113" s="168">
        <f>('Pivot Table for Data Exchange'!$E$330)*100</f>
        <v>81.253524718568983</v>
      </c>
      <c r="C113" s="168">
        <f>('Pivot Table for Data Exchange'!$E$333)*100</f>
        <v>0.76922292251083824</v>
      </c>
      <c r="D113" s="169">
        <f t="shared" si="26"/>
        <v>17.977252358920179</v>
      </c>
      <c r="E113" s="168">
        <f>('Pivot Table for Data Exchange'!$E$336)*100</f>
        <v>17.970432438340193</v>
      </c>
      <c r="F113" s="180">
        <f>('Pivot Table for Data Exchange'!$E$339)*100</f>
        <v>6.8199205799846984E-3</v>
      </c>
      <c r="G113" s="175">
        <f>('Pivot Table for Data Exchange'!$E$342)*100</f>
        <v>0</v>
      </c>
      <c r="H113" s="168">
        <f>('Pivot Table for Data Exchange'!$E$345)*100</f>
        <v>0</v>
      </c>
      <c r="I113" s="174" t="s">
        <v>627</v>
      </c>
      <c r="J113" s="168">
        <f>('Pivot Table for Data Exchange'!$E$348)*100</f>
        <v>51.75353814290645</v>
      </c>
      <c r="K113" s="168">
        <f>('Pivot Table for Data Exchange'!$E$351)*100</f>
        <v>6.4141065470026462</v>
      </c>
      <c r="L113" s="169">
        <f t="shared" si="27"/>
        <v>41.832355310090897</v>
      </c>
      <c r="M113" s="168">
        <f>('Pivot Table for Data Exchange'!$E$354)*100</f>
        <v>41.832355310090897</v>
      </c>
      <c r="N113" s="180">
        <f>('Pivot Table for Data Exchange'!$E$357)*100</f>
        <v>0</v>
      </c>
      <c r="O113" s="176">
        <f>('Pivot Table for Data Exchange'!$E$360)*100</f>
        <v>0</v>
      </c>
      <c r="P113" s="168">
        <f>('Pivot Table for Data Exchange'!$E$363)*100</f>
        <v>0</v>
      </c>
      <c r="Q113" s="173">
        <f t="shared" si="14"/>
        <v>100</v>
      </c>
      <c r="R113" s="173">
        <f t="shared" si="15"/>
        <v>100</v>
      </c>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row>
    <row r="114" spans="1:41" ht="15.75" customHeight="1">
      <c r="A114" s="139" t="s">
        <v>628</v>
      </c>
      <c r="B114" s="168">
        <f>('Pivot Table for Data Exchange'!$E$366)*100</f>
        <v>0</v>
      </c>
      <c r="C114" s="168">
        <f>('Pivot Table for Data Exchange'!$E$369)*100</f>
        <v>0</v>
      </c>
      <c r="D114" s="169">
        <f t="shared" si="26"/>
        <v>0</v>
      </c>
      <c r="E114" s="168">
        <f>('Pivot Table for Data Exchange'!$E$372)*100</f>
        <v>0</v>
      </c>
      <c r="F114" s="168">
        <f>('Pivot Table for Data Exchange'!$E$375)*100</f>
        <v>0</v>
      </c>
      <c r="G114" s="176">
        <f>('Pivot Table for Data Exchange'!$E$378)*100</f>
        <v>0</v>
      </c>
      <c r="H114" s="168">
        <f>('Pivot Table for Data Exchange'!$E$381)*100</f>
        <v>0</v>
      </c>
      <c r="I114" s="174" t="s">
        <v>628</v>
      </c>
      <c r="J114" s="168">
        <f>('Pivot Table for Data Exchange'!$E$384)*100</f>
        <v>0</v>
      </c>
      <c r="K114" s="168">
        <f>('Pivot Table for Data Exchange'!$E$387)*100</f>
        <v>0</v>
      </c>
      <c r="L114" s="169">
        <f t="shared" si="27"/>
        <v>0</v>
      </c>
      <c r="M114" s="168">
        <f>('Pivot Table for Data Exchange'!$E$390)*100</f>
        <v>0</v>
      </c>
      <c r="N114" s="168">
        <f>('Pivot Table for Data Exchange'!$E$393)*100</f>
        <v>0</v>
      </c>
      <c r="O114" s="176">
        <f>('Pivot Table for Data Exchange'!$E$396)*100</f>
        <v>0</v>
      </c>
      <c r="P114" s="168">
        <f>('Pivot Table for Data Exchange'!$E$399)*100</f>
        <v>0</v>
      </c>
      <c r="Q114" s="173">
        <f t="shared" si="14"/>
        <v>0</v>
      </c>
      <c r="R114" s="173">
        <f t="shared" si="15"/>
        <v>0</v>
      </c>
      <c r="S114" s="174"/>
      <c r="T114" s="148"/>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row>
    <row r="115" spans="1:41" ht="15.75" customHeight="1">
      <c r="A115" s="139" t="s">
        <v>629</v>
      </c>
      <c r="B115" s="168">
        <f>('Pivot Table for Data Exchange'!$E$402)*100</f>
        <v>88.320956193482743</v>
      </c>
      <c r="C115" s="168">
        <f>('Pivot Table for Data Exchange'!$E$405)*100</f>
        <v>1.8380290395276084</v>
      </c>
      <c r="D115" s="169">
        <f>SUM(E115:G115)</f>
        <v>9.8410147669896446</v>
      </c>
      <c r="E115" s="168">
        <f>('Pivot Table for Data Exchange'!$E$408)*100</f>
        <v>9.8410147669896446</v>
      </c>
      <c r="F115" s="180">
        <f>('Pivot Table for Data Exchange'!$E$411)*100</f>
        <v>0</v>
      </c>
      <c r="G115" s="176">
        <f>('Pivot Table for Data Exchange'!$E$414)*100</f>
        <v>0</v>
      </c>
      <c r="H115" s="168">
        <f>('Pivot Table for Data Exchange'!$E$417)*100</f>
        <v>0</v>
      </c>
      <c r="I115" s="174" t="s">
        <v>629</v>
      </c>
      <c r="J115" s="168">
        <f>('Pivot Table for Data Exchange'!$E$420)*100</f>
        <v>51.006663997927802</v>
      </c>
      <c r="K115" s="168">
        <f>('Pivot Table for Data Exchange'!$E$423)*100</f>
        <v>8.0250547483928703</v>
      </c>
      <c r="L115" s="169">
        <f>SUM(M115:O115)</f>
        <v>40.968281253679329</v>
      </c>
      <c r="M115" s="168">
        <f>('Pivot Table for Data Exchange'!$E$426)*100</f>
        <v>40.968281253679329</v>
      </c>
      <c r="N115" s="168">
        <f>('Pivot Table for Data Exchange'!$E$429)*100</f>
        <v>0</v>
      </c>
      <c r="O115" s="175">
        <f>('Pivot Table for Data Exchange'!$E$432)*100</f>
        <v>0</v>
      </c>
      <c r="P115" s="168">
        <f>('Pivot Table for Data Exchange'!$E$435)*100</f>
        <v>0</v>
      </c>
      <c r="Q115" s="173">
        <f t="shared" si="14"/>
        <v>100</v>
      </c>
      <c r="R115" s="173">
        <f t="shared" si="15"/>
        <v>100</v>
      </c>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row>
    <row r="116" spans="1:41" ht="11.25" customHeight="1">
      <c r="B116" s="168"/>
      <c r="C116" s="168"/>
      <c r="D116" s="169"/>
      <c r="E116" s="168"/>
      <c r="F116" s="168"/>
      <c r="G116" s="176"/>
      <c r="H116" s="168"/>
      <c r="I116" s="174"/>
      <c r="J116" s="168"/>
      <c r="K116" s="168"/>
      <c r="L116" s="169"/>
      <c r="M116" s="168"/>
      <c r="N116" s="168"/>
      <c r="O116" s="176"/>
      <c r="P116" s="168"/>
      <c r="Q116" s="173">
        <f t="shared" si="14"/>
        <v>0</v>
      </c>
      <c r="R116" s="173">
        <f t="shared" si="15"/>
        <v>0</v>
      </c>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row>
    <row r="117" spans="1:41" ht="15.75" customHeight="1">
      <c r="A117" s="139" t="s">
        <v>630</v>
      </c>
      <c r="B117" s="168">
        <f>('Pivot Table for Data Exchange'!$E$438)*100</f>
        <v>66.560160199524987</v>
      </c>
      <c r="C117" s="168">
        <f>('Pivot Table for Data Exchange'!$E$441)*100</f>
        <v>2.4247253685468722</v>
      </c>
      <c r="D117" s="169">
        <f>SUM(E117:G117)</f>
        <v>30.362363460433926</v>
      </c>
      <c r="E117" s="168">
        <f>('Pivot Table for Data Exchange'!$E$444)*100</f>
        <v>20.548072793505089</v>
      </c>
      <c r="F117" s="168">
        <f>('Pivot Table for Data Exchange'!$E$447)*100</f>
        <v>0</v>
      </c>
      <c r="G117" s="176">
        <f>('Pivot Table for Data Exchange'!$E$450)*100</f>
        <v>9.8142906669288354</v>
      </c>
      <c r="H117" s="168">
        <f>('Pivot Table for Data Exchange'!$E$453)*100</f>
        <v>0.65275097149421246</v>
      </c>
      <c r="I117" s="174" t="s">
        <v>630</v>
      </c>
      <c r="J117" s="168">
        <f>('Pivot Table for Data Exchange'!$E$456)*100</f>
        <v>38.557233895693209</v>
      </c>
      <c r="K117" s="168">
        <f>('Pivot Table for Data Exchange'!$E$459)*100</f>
        <v>0.23596641892868037</v>
      </c>
      <c r="L117" s="169">
        <f>SUM(M117:O117)</f>
        <v>58.689824550138852</v>
      </c>
      <c r="M117" s="168">
        <f>('Pivot Table for Data Exchange'!$E$462)*100</f>
        <v>53.739345393839187</v>
      </c>
      <c r="N117" s="168">
        <f>('Pivot Table for Data Exchange'!$E$465)*100</f>
        <v>0</v>
      </c>
      <c r="O117" s="176">
        <f>('Pivot Table for Data Exchange'!$E$468)*100</f>
        <v>4.9504791562996617</v>
      </c>
      <c r="P117" s="168">
        <f>('Pivot Table for Data Exchange'!$E$471)*100</f>
        <v>2.5169751352392571</v>
      </c>
      <c r="Q117" s="173">
        <f t="shared" si="14"/>
        <v>100</v>
      </c>
      <c r="R117" s="173">
        <f t="shared" si="15"/>
        <v>100.00000000000001</v>
      </c>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row>
    <row r="118" spans="1:41" ht="15.75" customHeight="1">
      <c r="A118" s="139" t="s">
        <v>631</v>
      </c>
      <c r="B118" s="168">
        <f>('Pivot Table for Data Exchange'!$E$474)*100</f>
        <v>0</v>
      </c>
      <c r="C118" s="168">
        <f>('Pivot Table for Data Exchange'!$E$477)*100</f>
        <v>0</v>
      </c>
      <c r="D118" s="169">
        <f>SUM(E118:G118)</f>
        <v>0</v>
      </c>
      <c r="E118" s="168">
        <f>('Pivot Table for Data Exchange'!$E$480)*100</f>
        <v>0</v>
      </c>
      <c r="F118" s="168">
        <f>('Pivot Table for Data Exchange'!$E$483)*100</f>
        <v>0</v>
      </c>
      <c r="G118" s="176">
        <f>('Pivot Table for Data Exchange'!$E$486)*100</f>
        <v>0</v>
      </c>
      <c r="H118" s="168">
        <f>('Pivot Table for Data Exchange'!$E$489)*100</f>
        <v>0</v>
      </c>
      <c r="I118" s="174" t="s">
        <v>631</v>
      </c>
      <c r="J118" s="168">
        <f>('Pivot Table for Data Exchange'!$E$492)*100</f>
        <v>0</v>
      </c>
      <c r="K118" s="168">
        <f>('Pivot Table for Data Exchange'!$E$495)*100</f>
        <v>0</v>
      </c>
      <c r="L118" s="169">
        <f>SUM(M118:O118)</f>
        <v>0</v>
      </c>
      <c r="M118" s="168">
        <f>('Pivot Table for Data Exchange'!$E$498)*100</f>
        <v>0</v>
      </c>
      <c r="N118" s="168">
        <f>('Pivot Table for Data Exchange'!$E$501)*100</f>
        <v>0</v>
      </c>
      <c r="O118" s="176">
        <f>('Pivot Table for Data Exchange'!$E$504)*100</f>
        <v>0</v>
      </c>
      <c r="P118" s="168">
        <f>('Pivot Table for Data Exchange'!$E$507)*100</f>
        <v>0</v>
      </c>
      <c r="Q118" s="173">
        <f t="shared" si="14"/>
        <v>0</v>
      </c>
      <c r="R118" s="173">
        <f t="shared" si="15"/>
        <v>0</v>
      </c>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row>
    <row r="119" spans="1:41" ht="15.75" customHeight="1">
      <c r="A119" s="139" t="s">
        <v>632</v>
      </c>
      <c r="B119" s="168">
        <f>('Pivot Table for Data Exchange'!$E$510)*100</f>
        <v>89.192626357412053</v>
      </c>
      <c r="C119" s="168">
        <f>('Pivot Table for Data Exchange'!$E$513)*100</f>
        <v>2.3977544131941997</v>
      </c>
      <c r="D119" s="169">
        <f t="shared" ref="D119" si="28">SUM(E119:G119)</f>
        <v>8.4096192293937531</v>
      </c>
      <c r="E119" s="168">
        <f>('Pivot Table for Data Exchange'!$E$516)*100</f>
        <v>8.34311407423818</v>
      </c>
      <c r="F119" s="168">
        <f>('Pivot Table for Data Exchange'!$E$519)*100</f>
        <v>6.6505155155573883E-2</v>
      </c>
      <c r="G119" s="176">
        <f>('Pivot Table for Data Exchange'!$E$522)*100</f>
        <v>0</v>
      </c>
      <c r="H119" s="168">
        <f>('Pivot Table for Data Exchange'!$E$525)*100</f>
        <v>0</v>
      </c>
      <c r="I119" s="174" t="s">
        <v>632</v>
      </c>
      <c r="J119" s="168">
        <f>('Pivot Table for Data Exchange'!$E$528)*100</f>
        <v>55.941851056112057</v>
      </c>
      <c r="K119" s="168">
        <f>('Pivot Table for Data Exchange'!$E$531)*100</f>
        <v>13.559251095175648</v>
      </c>
      <c r="L119" s="169">
        <f t="shared" ref="L119" si="29">SUM(M119:O119)</f>
        <v>30.4988978487123</v>
      </c>
      <c r="M119" s="168">
        <f>('Pivot Table for Data Exchange'!$E$534)*100</f>
        <v>27.193839113814562</v>
      </c>
      <c r="N119" s="168">
        <f>('Pivot Table for Data Exchange'!$E$537)*100</f>
        <v>3.3050587348977376</v>
      </c>
      <c r="O119" s="176">
        <f>('Pivot Table for Data Exchange'!$E$540)*100</f>
        <v>0</v>
      </c>
      <c r="P119" s="168">
        <f>('Pivot Table for Data Exchange'!$E$543)*100</f>
        <v>0</v>
      </c>
      <c r="Q119" s="173">
        <f t="shared" si="14"/>
        <v>100.00000000000001</v>
      </c>
      <c r="R119" s="173">
        <f t="shared" si="15"/>
        <v>100.00000000000001</v>
      </c>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row>
    <row r="120" spans="1:41" ht="15.75" customHeight="1">
      <c r="A120" s="145" t="s">
        <v>633</v>
      </c>
      <c r="B120" s="181">
        <f>('Pivot Table for Data Exchange'!$E$546)*100</f>
        <v>70.872691271464276</v>
      </c>
      <c r="C120" s="181">
        <f>('Pivot Table for Data Exchange'!$E$549)*100</f>
        <v>9.744944330833901</v>
      </c>
      <c r="D120" s="182">
        <f>SUM(E120:G120)</f>
        <v>19.382364397701817</v>
      </c>
      <c r="E120" s="181">
        <f>('Pivot Table for Data Exchange'!$E$552)*100</f>
        <v>17.858765864900832</v>
      </c>
      <c r="F120" s="202">
        <f>('Pivot Table for Data Exchange'!$E$555)*100</f>
        <v>1.5235985328009869</v>
      </c>
      <c r="G120" s="183">
        <f>('Pivot Table for Data Exchange'!$E$558)*100</f>
        <v>0</v>
      </c>
      <c r="H120" s="181">
        <f>('Pivot Table for Data Exchange'!$E$561)*100</f>
        <v>0</v>
      </c>
      <c r="I120" s="184" t="s">
        <v>633</v>
      </c>
      <c r="J120" s="181">
        <f>('Pivot Table for Data Exchange'!$E$564)*100</f>
        <v>49.083499899285705</v>
      </c>
      <c r="K120" s="181">
        <f>('Pivot Table for Data Exchange'!$E$567)*100</f>
        <v>18.052650335456079</v>
      </c>
      <c r="L120" s="182">
        <f>SUM(M120:O120)</f>
        <v>32.863849765258216</v>
      </c>
      <c r="M120" s="181">
        <f>('Pivot Table for Data Exchange'!$E$570)*100</f>
        <v>31.467794666790621</v>
      </c>
      <c r="N120" s="181">
        <f>('Pivot Table for Data Exchange'!$E$573)*100</f>
        <v>1.3960550984675932</v>
      </c>
      <c r="O120" s="183">
        <f>('Pivot Table for Data Exchange'!$E$576)*100</f>
        <v>0</v>
      </c>
      <c r="P120" s="181">
        <f>('Pivot Table for Data Exchange'!$E$579)*100</f>
        <v>0</v>
      </c>
      <c r="Q120" s="173">
        <f t="shared" si="14"/>
        <v>100</v>
      </c>
      <c r="R120" s="173">
        <f t="shared" si="15"/>
        <v>100</v>
      </c>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row>
    <row r="121" spans="1:41" s="186" customFormat="1" ht="12" customHeight="1">
      <c r="A121" s="187" t="s">
        <v>658</v>
      </c>
      <c r="B121" s="188"/>
      <c r="C121" s="188"/>
      <c r="D121" s="189"/>
      <c r="E121" s="188"/>
      <c r="F121" s="189"/>
      <c r="G121" s="189"/>
      <c r="H121" s="188"/>
      <c r="I121" s="187" t="s">
        <v>658</v>
      </c>
      <c r="J121" s="188"/>
      <c r="K121" s="188"/>
      <c r="L121" s="189"/>
      <c r="M121" s="188"/>
      <c r="N121" s="189"/>
      <c r="O121" s="189"/>
      <c r="P121" s="188"/>
      <c r="Q121" s="173"/>
      <c r="R121" s="173"/>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row>
    <row r="122" spans="1:41" s="186" customFormat="1" ht="28.5" customHeight="1">
      <c r="A122" s="492" t="s">
        <v>664</v>
      </c>
      <c r="B122" s="505"/>
      <c r="C122" s="505"/>
      <c r="D122" s="505"/>
      <c r="E122" s="505"/>
      <c r="F122" s="505"/>
      <c r="G122" s="505"/>
      <c r="H122" s="505"/>
      <c r="I122" s="492" t="s">
        <v>664</v>
      </c>
      <c r="J122" s="505"/>
      <c r="K122" s="505"/>
      <c r="L122" s="505"/>
      <c r="M122" s="505"/>
      <c r="N122" s="505"/>
      <c r="O122" s="505"/>
      <c r="P122" s="505"/>
      <c r="Q122" s="173"/>
      <c r="R122" s="173"/>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row>
    <row r="123" spans="1:41" s="186" customFormat="1" ht="13.5" customHeight="1">
      <c r="A123" s="197"/>
      <c r="B123" s="198"/>
      <c r="I123" s="197"/>
      <c r="P123" s="199"/>
      <c r="Q123" s="173"/>
      <c r="R123" s="173"/>
    </row>
    <row r="124" spans="1:41" s="186" customFormat="1" ht="13.5" customHeight="1">
      <c r="H124" s="192" t="s">
        <v>923</v>
      </c>
      <c r="I124" s="197"/>
      <c r="P124" s="192" t="s">
        <v>923</v>
      </c>
      <c r="Q124" s="173"/>
      <c r="R124" s="173"/>
    </row>
    <row r="125" spans="1:41" ht="18">
      <c r="A125" s="134" t="s">
        <v>665</v>
      </c>
      <c r="B125" s="135"/>
      <c r="C125" s="135"/>
      <c r="D125" s="135"/>
      <c r="E125" s="135"/>
      <c r="F125" s="135"/>
      <c r="G125" s="135"/>
      <c r="H125" s="135"/>
      <c r="I125" s="134" t="s">
        <v>666</v>
      </c>
      <c r="J125" s="136"/>
      <c r="K125" s="136"/>
      <c r="L125" s="135"/>
      <c r="M125" s="136"/>
      <c r="N125" s="136"/>
      <c r="O125" s="136"/>
      <c r="P125" s="136"/>
      <c r="Q125" s="173"/>
      <c r="R125" s="173"/>
    </row>
    <row r="126" spans="1:41" ht="13">
      <c r="A126" s="140"/>
      <c r="B126" s="136"/>
      <c r="C126" s="136"/>
      <c r="D126" s="136"/>
      <c r="E126" s="136"/>
      <c r="F126" s="136"/>
      <c r="G126" s="136"/>
      <c r="H126" s="136"/>
      <c r="I126" s="140"/>
      <c r="J126" s="136"/>
      <c r="K126" s="136"/>
      <c r="L126" s="136"/>
      <c r="M126" s="136"/>
      <c r="N126" s="136"/>
      <c r="O126" s="136"/>
      <c r="P126" s="136"/>
      <c r="Q126" s="173"/>
      <c r="R126" s="173"/>
    </row>
    <row r="127" spans="1:41" ht="15.5">
      <c r="A127" s="142" t="s">
        <v>639</v>
      </c>
      <c r="B127" s="136"/>
      <c r="C127" s="136"/>
      <c r="D127" s="136"/>
      <c r="E127" s="136"/>
      <c r="F127" s="136"/>
      <c r="G127" s="136"/>
      <c r="H127" s="136"/>
      <c r="I127" s="142" t="s">
        <v>640</v>
      </c>
      <c r="J127" s="136"/>
      <c r="K127" s="136"/>
      <c r="L127" s="136"/>
      <c r="M127" s="136"/>
      <c r="N127" s="136"/>
      <c r="O127" s="136"/>
      <c r="P127" s="136"/>
      <c r="Q127" s="173"/>
      <c r="R127" s="173"/>
    </row>
    <row r="128" spans="1:41" ht="15.5">
      <c r="A128" s="142" t="s">
        <v>750</v>
      </c>
      <c r="B128" s="136"/>
      <c r="C128" s="136"/>
      <c r="D128" s="136"/>
      <c r="E128" s="136"/>
      <c r="F128" s="136"/>
      <c r="G128" s="136"/>
      <c r="H128" s="136"/>
      <c r="I128" s="142" t="s">
        <v>750</v>
      </c>
      <c r="J128" s="136"/>
      <c r="K128" s="136"/>
      <c r="L128" s="136"/>
      <c r="M128" s="136"/>
      <c r="N128" s="136"/>
      <c r="O128" s="136"/>
      <c r="P128" s="136"/>
      <c r="Q128" s="173"/>
      <c r="R128" s="173"/>
    </row>
    <row r="129" spans="1:41">
      <c r="A129" s="145"/>
      <c r="B129" s="146"/>
      <c r="C129" s="146"/>
      <c r="D129" s="146"/>
      <c r="E129" s="146"/>
      <c r="F129" s="146"/>
      <c r="G129" s="146"/>
      <c r="H129" s="146"/>
      <c r="I129" s="147"/>
      <c r="L129" s="148"/>
      <c r="P129" s="145"/>
      <c r="Q129" s="173"/>
      <c r="R129" s="173"/>
    </row>
    <row r="130" spans="1:41" s="155" customFormat="1">
      <c r="A130" s="150"/>
      <c r="B130" s="151" t="s">
        <v>641</v>
      </c>
      <c r="C130" s="151"/>
      <c r="D130" s="151"/>
      <c r="E130" s="151"/>
      <c r="F130" s="151"/>
      <c r="G130" s="151"/>
      <c r="H130" s="152"/>
      <c r="I130" s="150"/>
      <c r="J130" s="151" t="s">
        <v>641</v>
      </c>
      <c r="K130" s="151"/>
      <c r="L130" s="151"/>
      <c r="M130" s="151"/>
      <c r="N130" s="151"/>
      <c r="O130" s="151"/>
      <c r="P130" s="152"/>
      <c r="Q130" s="173"/>
      <c r="R130" s="173"/>
    </row>
    <row r="131" spans="1:41" s="155" customFormat="1">
      <c r="A131" s="150"/>
      <c r="B131" s="151" t="s">
        <v>642</v>
      </c>
      <c r="C131" s="151"/>
      <c r="D131" s="487" t="s">
        <v>643</v>
      </c>
      <c r="E131" s="485"/>
      <c r="F131" s="485"/>
      <c r="G131" s="485"/>
      <c r="H131" s="158" t="s">
        <v>533</v>
      </c>
      <c r="I131" s="150"/>
      <c r="J131" s="151" t="s">
        <v>642</v>
      </c>
      <c r="K131" s="151"/>
      <c r="L131" s="487" t="s">
        <v>643</v>
      </c>
      <c r="M131" s="485"/>
      <c r="N131" s="485"/>
      <c r="O131" s="485"/>
      <c r="P131" s="158" t="s">
        <v>533</v>
      </c>
      <c r="Q131" s="173"/>
      <c r="R131" s="173"/>
    </row>
    <row r="132" spans="1:41" s="155" customFormat="1" ht="40.5" customHeight="1">
      <c r="A132" s="150"/>
      <c r="B132" s="159" t="s">
        <v>644</v>
      </c>
      <c r="C132" s="160" t="s">
        <v>645</v>
      </c>
      <c r="D132" s="161" t="s">
        <v>646</v>
      </c>
      <c r="E132" s="162" t="s">
        <v>8</v>
      </c>
      <c r="F132" s="159" t="s">
        <v>647</v>
      </c>
      <c r="G132" s="163" t="s">
        <v>656</v>
      </c>
      <c r="H132" s="164" t="s">
        <v>649</v>
      </c>
      <c r="I132" s="150"/>
      <c r="J132" s="159" t="s">
        <v>644</v>
      </c>
      <c r="K132" s="160" t="s">
        <v>645</v>
      </c>
      <c r="L132" s="161" t="s">
        <v>646</v>
      </c>
      <c r="M132" s="162" t="s">
        <v>8</v>
      </c>
      <c r="N132" s="159" t="s">
        <v>647</v>
      </c>
      <c r="O132" s="163" t="s">
        <v>656</v>
      </c>
      <c r="P132" s="164" t="s">
        <v>649</v>
      </c>
      <c r="Q132" s="173"/>
      <c r="R132" s="173"/>
      <c r="T132" s="193"/>
    </row>
    <row r="133" spans="1:41" ht="15.75" customHeight="1">
      <c r="A133" s="194" t="s">
        <v>618</v>
      </c>
      <c r="B133" s="168">
        <f>('Pivot Table for Data Exchange'!$F$6)*100</f>
        <v>76.82690885087689</v>
      </c>
      <c r="C133" s="168">
        <f>('Pivot Table for Data Exchange'!$F$9)*100</f>
        <v>0.13827716890300112</v>
      </c>
      <c r="D133" s="169">
        <f>SUM(E133:G133)</f>
        <v>23.034813980220108</v>
      </c>
      <c r="E133" s="168">
        <f>('Pivot Table for Data Exchange'!$F$12)*100</f>
        <v>23.034813980220108</v>
      </c>
      <c r="F133" s="168">
        <f>('Pivot Table for Data Exchange'!$F$15)*100</f>
        <v>0</v>
      </c>
      <c r="G133" s="172">
        <f>('Pivot Table for Data Exchange'!$F$18)*100</f>
        <v>0</v>
      </c>
      <c r="H133" s="168">
        <f>('Pivot Table for Data Exchange'!$F$21)*100</f>
        <v>0</v>
      </c>
      <c r="I133" s="171" t="s">
        <v>618</v>
      </c>
      <c r="J133" s="168">
        <f>('Pivot Table for Data Exchange'!$F$24)*100</f>
        <v>14.154523670746713</v>
      </c>
      <c r="K133" s="168">
        <f>('Pivot Table for Data Exchange'!$F$27)*100</f>
        <v>0</v>
      </c>
      <c r="L133" s="169">
        <f>SUM(M133:O133)</f>
        <v>85.845476329253287</v>
      </c>
      <c r="M133" s="168">
        <f>('Pivot Table for Data Exchange'!$F$30)*100</f>
        <v>85.845476329253287</v>
      </c>
      <c r="N133" s="168">
        <f>('Pivot Table for Data Exchange'!$F$33)*100</f>
        <v>0</v>
      </c>
      <c r="O133" s="172">
        <f>('Pivot Table for Data Exchange'!$F$36)*100</f>
        <v>0</v>
      </c>
      <c r="P133" s="168">
        <f>('Pivot Table for Data Exchange'!$F$39)*100</f>
        <v>0</v>
      </c>
      <c r="Q133" s="173">
        <f t="shared" si="14"/>
        <v>100</v>
      </c>
      <c r="R133" s="173">
        <f t="shared" si="15"/>
        <v>100</v>
      </c>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row>
    <row r="134" spans="1:41" ht="15.75" customHeight="1">
      <c r="A134" s="139" t="s">
        <v>619</v>
      </c>
      <c r="B134" s="168">
        <f>('Pivot Table for Data Exchange'!$F$42)*100</f>
        <v>72.370171566554134</v>
      </c>
      <c r="C134" s="168">
        <f>('Pivot Table for Data Exchange'!$F$45)*100</f>
        <v>6.9845505509970236</v>
      </c>
      <c r="D134" s="169">
        <f t="shared" ref="D134:D136" si="30">SUM(E134:G134)</f>
        <v>20.645277882448841</v>
      </c>
      <c r="E134" s="168">
        <f>('Pivot Table for Data Exchange'!$F$48)*100</f>
        <v>20.645277882448841</v>
      </c>
      <c r="F134" s="168">
        <f>('Pivot Table for Data Exchange'!$F$51)*100</f>
        <v>0</v>
      </c>
      <c r="G134" s="176">
        <f>('Pivot Table for Data Exchange'!$F$54)*100</f>
        <v>0</v>
      </c>
      <c r="H134" s="168">
        <f>('Pivot Table for Data Exchange'!$F$57)*100</f>
        <v>0</v>
      </c>
      <c r="I134" s="174" t="s">
        <v>619</v>
      </c>
      <c r="J134" s="168">
        <f>('Pivot Table for Data Exchange'!$F$60)*100</f>
        <v>16.62920636930577</v>
      </c>
      <c r="K134" s="168">
        <f>('Pivot Table for Data Exchange'!$F$63)*100</f>
        <v>2.4470543543638605</v>
      </c>
      <c r="L134" s="169">
        <f t="shared" ref="L134:L136" si="31">SUM(M134:O134)</f>
        <v>80.923739276330366</v>
      </c>
      <c r="M134" s="168">
        <f>('Pivot Table for Data Exchange'!$F$66)*100</f>
        <v>80.923739276330366</v>
      </c>
      <c r="N134" s="168">
        <f>('Pivot Table for Data Exchange'!$F$69)*100</f>
        <v>0</v>
      </c>
      <c r="O134" s="176">
        <f>('Pivot Table for Data Exchange'!$F$72)*100</f>
        <v>0</v>
      </c>
      <c r="P134" s="168">
        <f>('Pivot Table for Data Exchange'!$F$75)*100</f>
        <v>0</v>
      </c>
      <c r="Q134" s="173">
        <f t="shared" si="14"/>
        <v>100</v>
      </c>
      <c r="R134" s="173">
        <f t="shared" si="15"/>
        <v>100</v>
      </c>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row>
    <row r="135" spans="1:41" ht="15.75" customHeight="1">
      <c r="A135" s="139" t="s">
        <v>620</v>
      </c>
      <c r="B135" s="168">
        <f>('Pivot Table for Data Exchange'!$F$78)*100</f>
        <v>0</v>
      </c>
      <c r="C135" s="168">
        <f>('Pivot Table for Data Exchange'!$F$81)*100</f>
        <v>0</v>
      </c>
      <c r="D135" s="169">
        <f t="shared" si="30"/>
        <v>0</v>
      </c>
      <c r="E135" s="168">
        <f>('Pivot Table for Data Exchange'!$F$84)*100</f>
        <v>0</v>
      </c>
      <c r="F135" s="168">
        <f>('Pivot Table for Data Exchange'!$F$87)*100</f>
        <v>0</v>
      </c>
      <c r="G135" s="176">
        <f>('Pivot Table for Data Exchange'!$F$90)*100</f>
        <v>0</v>
      </c>
      <c r="H135" s="168">
        <f>('Pivot Table for Data Exchange'!$F$93)*100</f>
        <v>0</v>
      </c>
      <c r="I135" s="174" t="s">
        <v>620</v>
      </c>
      <c r="J135" s="168">
        <f>('Pivot Table for Data Exchange'!$F$96)*100</f>
        <v>0</v>
      </c>
      <c r="K135" s="168">
        <f>('Pivot Table for Data Exchange'!$F$99)*100</f>
        <v>0</v>
      </c>
      <c r="L135" s="169">
        <f t="shared" si="31"/>
        <v>0</v>
      </c>
      <c r="M135" s="168">
        <f>('Pivot Table for Data Exchange'!$F$102)*100</f>
        <v>0</v>
      </c>
      <c r="N135" s="168">
        <f>('Pivot Table for Data Exchange'!$F$105)*100</f>
        <v>0</v>
      </c>
      <c r="O135" s="176">
        <f>('Pivot Table for Data Exchange'!$F$108)*100</f>
        <v>0</v>
      </c>
      <c r="P135" s="168">
        <f>('Pivot Table for Data Exchange'!$F$111)*100</f>
        <v>0</v>
      </c>
      <c r="Q135" s="173">
        <f t="shared" si="14"/>
        <v>0</v>
      </c>
      <c r="R135" s="173">
        <f t="shared" si="15"/>
        <v>0</v>
      </c>
      <c r="S135" s="174"/>
      <c r="T135" s="148"/>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row>
    <row r="136" spans="1:41" ht="15.75" customHeight="1">
      <c r="A136" s="139" t="s">
        <v>657</v>
      </c>
      <c r="B136" s="168">
        <f>('Pivot Table for Data Exchange'!$F$114)*100</f>
        <v>0</v>
      </c>
      <c r="C136" s="168">
        <f>('Pivot Table for Data Exchange'!$F$117)*100</f>
        <v>0</v>
      </c>
      <c r="D136" s="169">
        <f t="shared" si="30"/>
        <v>0</v>
      </c>
      <c r="E136" s="168">
        <f>('Pivot Table for Data Exchange'!$F$120)*100</f>
        <v>0</v>
      </c>
      <c r="F136" s="177">
        <f>('Pivot Table for Data Exchange'!$F$123)*100</f>
        <v>0</v>
      </c>
      <c r="G136" s="179">
        <f>('Pivot Table for Data Exchange'!$F$126)*100</f>
        <v>0</v>
      </c>
      <c r="H136" s="168">
        <f>('Pivot Table for Data Exchange'!$F$129)*100</f>
        <v>0</v>
      </c>
      <c r="I136" s="174" t="s">
        <v>657</v>
      </c>
      <c r="J136" s="168">
        <f>('Pivot Table for Data Exchange'!$F$132)*100</f>
        <v>0</v>
      </c>
      <c r="K136" s="168">
        <f>('Pivot Table for Data Exchange'!$F$135)*100</f>
        <v>0</v>
      </c>
      <c r="L136" s="169">
        <f t="shared" si="31"/>
        <v>0</v>
      </c>
      <c r="M136" s="168">
        <f>('Pivot Table for Data Exchange'!$F$138)*100</f>
        <v>0</v>
      </c>
      <c r="N136" s="168">
        <f>('Pivot Table for Data Exchange'!$F$141)*100</f>
        <v>0</v>
      </c>
      <c r="O136" s="176">
        <f>('Pivot Table for Data Exchange'!$F$144)*100</f>
        <v>0</v>
      </c>
      <c r="P136" s="168">
        <f>('Pivot Table for Data Exchange'!$F$147)*100</f>
        <v>0</v>
      </c>
      <c r="Q136" s="173">
        <f t="shared" si="14"/>
        <v>0</v>
      </c>
      <c r="R136" s="173">
        <f t="shared" si="15"/>
        <v>0</v>
      </c>
      <c r="S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row>
    <row r="137" spans="1:41" ht="15.75" customHeight="1">
      <c r="B137" s="168"/>
      <c r="C137" s="168"/>
      <c r="D137" s="169"/>
      <c r="E137" s="168"/>
      <c r="F137" s="168"/>
      <c r="G137" s="176"/>
      <c r="H137" s="168"/>
      <c r="I137" s="174"/>
      <c r="J137" s="168"/>
      <c r="K137" s="168"/>
      <c r="L137" s="169"/>
      <c r="M137" s="168"/>
      <c r="N137" s="168"/>
      <c r="O137" s="176"/>
      <c r="P137" s="168"/>
      <c r="Q137" s="173">
        <f t="shared" si="14"/>
        <v>0</v>
      </c>
      <c r="R137" s="173">
        <f t="shared" si="15"/>
        <v>0</v>
      </c>
      <c r="S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row>
    <row r="138" spans="1:41" ht="15.75" customHeight="1">
      <c r="A138" s="139" t="s">
        <v>622</v>
      </c>
      <c r="B138" s="168">
        <f>('Pivot Table for Data Exchange'!$F$150)*100</f>
        <v>76.942044825056527</v>
      </c>
      <c r="C138" s="168">
        <f>('Pivot Table for Data Exchange'!$F$153)*100</f>
        <v>1.9806716272663303</v>
      </c>
      <c r="D138" s="169">
        <f t="shared" ref="D138:D141" si="32">SUM(E138:G138)</f>
        <v>21.077283547677155</v>
      </c>
      <c r="E138" s="168">
        <f>('Pivot Table for Data Exchange'!$F$156)*100</f>
        <v>21.031096072941775</v>
      </c>
      <c r="F138" s="168">
        <f>('Pivot Table for Data Exchange'!$F$159)*100</f>
        <v>4.8657793481352834E-3</v>
      </c>
      <c r="G138" s="176">
        <f>('Pivot Table for Data Exchange'!$F$162)*100</f>
        <v>4.1321695387241175E-2</v>
      </c>
      <c r="H138" s="168">
        <f>('Pivot Table for Data Exchange'!$F$165)*100</f>
        <v>0</v>
      </c>
      <c r="I138" s="174" t="s">
        <v>622</v>
      </c>
      <c r="J138" s="168">
        <f>('Pivot Table for Data Exchange'!$F$168)*100</f>
        <v>70.902739171316597</v>
      </c>
      <c r="K138" s="168">
        <f>('Pivot Table for Data Exchange'!$F$171)*100</f>
        <v>5.1307128983328871</v>
      </c>
      <c r="L138" s="169">
        <f t="shared" ref="L138:L141" si="33">SUM(M138:O138)</f>
        <v>23.966547930350512</v>
      </c>
      <c r="M138" s="168">
        <f>('Pivot Table for Data Exchange'!$F$174)*100</f>
        <v>23.964488919087721</v>
      </c>
      <c r="N138" s="168">
        <f>('Pivot Table for Data Exchange'!$F$177)*100</f>
        <v>0</v>
      </c>
      <c r="O138" s="176">
        <f>('Pivot Table for Data Exchange'!$F$180)*100</f>
        <v>2.0590112627916074E-3</v>
      </c>
      <c r="P138" s="168">
        <f>('Pivot Table for Data Exchange'!$F$183)*100</f>
        <v>0</v>
      </c>
      <c r="Q138" s="173">
        <f t="shared" si="14"/>
        <v>100.00000000000001</v>
      </c>
      <c r="R138" s="173">
        <f t="shared" si="15"/>
        <v>100</v>
      </c>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row>
    <row r="139" spans="1:41" ht="15.75" customHeight="1">
      <c r="A139" s="139" t="s">
        <v>623</v>
      </c>
      <c r="B139" s="168">
        <f>('Pivot Table for Data Exchange'!$F$186)*100</f>
        <v>64.75233868366314</v>
      </c>
      <c r="C139" s="168">
        <f>('Pivot Table for Data Exchange'!$F$189)*100</f>
        <v>0</v>
      </c>
      <c r="D139" s="169">
        <f t="shared" si="32"/>
        <v>35.24766131633686</v>
      </c>
      <c r="E139" s="168">
        <f>('Pivot Table for Data Exchange'!$F$192)*100</f>
        <v>35.243211977619829</v>
      </c>
      <c r="F139" s="168">
        <f>('Pivot Table for Data Exchange'!$F$195)*100</f>
        <v>4.4493387170331808E-3</v>
      </c>
      <c r="G139" s="179">
        <f>('Pivot Table for Data Exchange'!$F$198)*100</f>
        <v>0</v>
      </c>
      <c r="H139" s="168">
        <f>('Pivot Table for Data Exchange'!$F$201)*100</f>
        <v>0</v>
      </c>
      <c r="I139" s="174" t="s">
        <v>623</v>
      </c>
      <c r="J139" s="168">
        <f>('Pivot Table for Data Exchange'!$F$204)*100</f>
        <v>72.528433945756774</v>
      </c>
      <c r="K139" s="168">
        <f>('Pivot Table for Data Exchange'!$F$207)*100</f>
        <v>0</v>
      </c>
      <c r="L139" s="169">
        <f t="shared" si="33"/>
        <v>27.471566054243219</v>
      </c>
      <c r="M139" s="168">
        <f>('Pivot Table for Data Exchange'!$F$210)*100</f>
        <v>27.471566054243219</v>
      </c>
      <c r="N139" s="168">
        <f>('Pivot Table for Data Exchange'!$F$213)*100</f>
        <v>0</v>
      </c>
      <c r="O139" s="176">
        <f>('Pivot Table for Data Exchange'!$F$216)*100</f>
        <v>0</v>
      </c>
      <c r="P139" s="168">
        <f>('Pivot Table for Data Exchange'!$F$219)*100</f>
        <v>0</v>
      </c>
      <c r="Q139" s="173">
        <f t="shared" ref="Q139:Q202" si="34">SUM(B139,C139,D139,H139)</f>
        <v>100</v>
      </c>
      <c r="R139" s="173">
        <f t="shared" ref="R139:R202" si="35">SUM(J139,K139,L139,P139)</f>
        <v>100</v>
      </c>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row>
    <row r="140" spans="1:41" ht="15.75" customHeight="1">
      <c r="A140" s="139" t="s">
        <v>624</v>
      </c>
      <c r="B140" s="168">
        <f>('Pivot Table for Data Exchange'!$F$222)*100</f>
        <v>71.406043246528881</v>
      </c>
      <c r="C140" s="168">
        <f>('Pivot Table for Data Exchange'!$F$225)*100</f>
        <v>0</v>
      </c>
      <c r="D140" s="169">
        <f t="shared" si="32"/>
        <v>28.593956753471122</v>
      </c>
      <c r="E140" s="168">
        <f>('Pivot Table for Data Exchange'!$F$228)*100</f>
        <v>28.593956753471122</v>
      </c>
      <c r="F140" s="168">
        <f>('Pivot Table for Data Exchange'!$F$231)*100</f>
        <v>0</v>
      </c>
      <c r="G140" s="176">
        <f>('Pivot Table for Data Exchange'!$F$234)*100</f>
        <v>0</v>
      </c>
      <c r="H140" s="168">
        <f>('Pivot Table for Data Exchange'!$F$237)*100</f>
        <v>0</v>
      </c>
      <c r="I140" s="174" t="s">
        <v>624</v>
      </c>
      <c r="J140" s="168">
        <f>('Pivot Table for Data Exchange'!$F$240)*100</f>
        <v>31.247243681149843</v>
      </c>
      <c r="K140" s="168">
        <f>('Pivot Table for Data Exchange'!$F$243)*100</f>
        <v>0</v>
      </c>
      <c r="L140" s="169">
        <f t="shared" si="33"/>
        <v>68.75275631885016</v>
      </c>
      <c r="M140" s="168">
        <f>('Pivot Table for Data Exchange'!$F$246)*100</f>
        <v>68.75275631885016</v>
      </c>
      <c r="N140" s="168">
        <f>('Pivot Table for Data Exchange'!$F$249)*100</f>
        <v>0</v>
      </c>
      <c r="O140" s="176">
        <f>('Pivot Table for Data Exchange'!$F$252)*100</f>
        <v>0</v>
      </c>
      <c r="P140" s="168">
        <f>('Pivot Table for Data Exchange'!$F$255)*100</f>
        <v>0</v>
      </c>
      <c r="Q140" s="173">
        <f t="shared" si="34"/>
        <v>100</v>
      </c>
      <c r="R140" s="173">
        <f t="shared" si="35"/>
        <v>100</v>
      </c>
      <c r="S140" s="174"/>
      <c r="T140" s="148"/>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row>
    <row r="141" spans="1:41" ht="15.75" customHeight="1">
      <c r="A141" s="139" t="s">
        <v>625</v>
      </c>
      <c r="B141" s="168">
        <f>('Pivot Table for Data Exchange'!$F$258)*100</f>
        <v>80.560889049240984</v>
      </c>
      <c r="C141" s="168">
        <f>('Pivot Table for Data Exchange'!$F$261)*100</f>
        <v>1.1455153702853653</v>
      </c>
      <c r="D141" s="169">
        <f t="shared" si="32"/>
        <v>18.293595580473639</v>
      </c>
      <c r="E141" s="168">
        <f>('Pivot Table for Data Exchange'!$F$264)*100</f>
        <v>16.864179581659609</v>
      </c>
      <c r="F141" s="168">
        <f>('Pivot Table for Data Exchange'!$F$267)*100</f>
        <v>1.4294159988140294</v>
      </c>
      <c r="G141" s="176">
        <f>('Pivot Table for Data Exchange'!$F$270)*100</f>
        <v>0</v>
      </c>
      <c r="H141" s="168">
        <f>('Pivot Table for Data Exchange'!$F$273)*100</f>
        <v>0</v>
      </c>
      <c r="I141" s="174" t="s">
        <v>625</v>
      </c>
      <c r="J141" s="168">
        <f>('Pivot Table for Data Exchange'!$F$276)*100</f>
        <v>56.095091840323953</v>
      </c>
      <c r="K141" s="168">
        <f>('Pivot Table for Data Exchange'!$F$279)*100</f>
        <v>3.4677121850361612</v>
      </c>
      <c r="L141" s="169">
        <f t="shared" si="33"/>
        <v>40.437195974639891</v>
      </c>
      <c r="M141" s="168">
        <f>('Pivot Table for Data Exchange'!$F$282)*100</f>
        <v>35.06661747925979</v>
      </c>
      <c r="N141" s="168">
        <f>('Pivot Table for Data Exchange'!$F$285)*100</f>
        <v>5.3705784953801015</v>
      </c>
      <c r="O141" s="176">
        <f>('Pivot Table for Data Exchange'!$F$288)*100</f>
        <v>0</v>
      </c>
      <c r="P141" s="168">
        <f>('Pivot Table for Data Exchange'!$F$291)*100</f>
        <v>0</v>
      </c>
      <c r="Q141" s="173">
        <f t="shared" si="34"/>
        <v>99.999999999999986</v>
      </c>
      <c r="R141" s="173">
        <f t="shared" si="35"/>
        <v>100</v>
      </c>
      <c r="S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row>
    <row r="142" spans="1:41" ht="15.75" customHeight="1">
      <c r="B142" s="168"/>
      <c r="C142" s="168"/>
      <c r="D142" s="169"/>
      <c r="E142" s="168"/>
      <c r="F142" s="168"/>
      <c r="G142" s="176"/>
      <c r="H142" s="168"/>
      <c r="I142" s="174"/>
      <c r="J142" s="168"/>
      <c r="K142" s="168"/>
      <c r="L142" s="169"/>
      <c r="M142" s="168"/>
      <c r="N142" s="168"/>
      <c r="O142" s="176"/>
      <c r="P142" s="168"/>
      <c r="Q142" s="173">
        <f t="shared" si="34"/>
        <v>0</v>
      </c>
      <c r="R142" s="173">
        <f t="shared" si="35"/>
        <v>0</v>
      </c>
      <c r="S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row>
    <row r="143" spans="1:41" ht="15.75" customHeight="1">
      <c r="A143" s="139" t="s">
        <v>626</v>
      </c>
      <c r="B143" s="168">
        <f>('Pivot Table for Data Exchange'!$F$294)*100</f>
        <v>60.465980031433233</v>
      </c>
      <c r="C143" s="168">
        <f>('Pivot Table for Data Exchange'!$F$297)*100</f>
        <v>3.4156352452470133</v>
      </c>
      <c r="D143" s="169">
        <f t="shared" ref="D143:D145" si="36">SUM(E143:G143)</f>
        <v>35.827713275786472</v>
      </c>
      <c r="E143" s="168">
        <f>('Pivot Table for Data Exchange'!$F$300)*100</f>
        <v>35.816479596654752</v>
      </c>
      <c r="F143" s="168">
        <f>('Pivot Table for Data Exchange'!$F$303)*100</f>
        <v>0</v>
      </c>
      <c r="G143" s="175">
        <f>('Pivot Table for Data Exchange'!$F$306)*100</f>
        <v>1.1233679131720855E-2</v>
      </c>
      <c r="H143" s="168">
        <f>('Pivot Table for Data Exchange'!$F$309)*100</f>
        <v>0.29067144753327712</v>
      </c>
      <c r="I143" s="174" t="s">
        <v>626</v>
      </c>
      <c r="J143" s="168">
        <f>('Pivot Table for Data Exchange'!$F$312)*100</f>
        <v>23.4896070399029</v>
      </c>
      <c r="K143" s="168">
        <f>('Pivot Table for Data Exchange'!$F$315)*100</f>
        <v>1.0104688211197086</v>
      </c>
      <c r="L143" s="169">
        <f t="shared" ref="L143:L145" si="37">SUM(M143:O143)</f>
        <v>75.345167652859956</v>
      </c>
      <c r="M143" s="168">
        <f>('Pivot Table for Data Exchange'!$F$318)*100</f>
        <v>75.299651039296009</v>
      </c>
      <c r="N143" s="168">
        <f>('Pivot Table for Data Exchange'!$F$321)*100</f>
        <v>0</v>
      </c>
      <c r="O143" s="176">
        <f>('Pivot Table for Data Exchange'!$F$324)*100</f>
        <v>4.5516613563950842E-2</v>
      </c>
      <c r="P143" s="168">
        <f>('Pivot Table for Data Exchange'!$F$327)*100</f>
        <v>0.15475648611743287</v>
      </c>
      <c r="Q143" s="173">
        <f t="shared" si="34"/>
        <v>99.999999999999986</v>
      </c>
      <c r="R143" s="173">
        <f t="shared" si="35"/>
        <v>100</v>
      </c>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row>
    <row r="144" spans="1:41" ht="15.75" customHeight="1">
      <c r="A144" s="139" t="s">
        <v>627</v>
      </c>
      <c r="B144" s="168">
        <f>('Pivot Table for Data Exchange'!$F$330)*100</f>
        <v>54.717383339439763</v>
      </c>
      <c r="C144" s="168">
        <f>('Pivot Table for Data Exchange'!$F$333)*100</f>
        <v>0.32441794624121506</v>
      </c>
      <c r="D144" s="169">
        <f t="shared" si="36"/>
        <v>44.958198714319018</v>
      </c>
      <c r="E144" s="168">
        <f>('Pivot Table for Data Exchange'!$F$336)*100</f>
        <v>44.958198714319018</v>
      </c>
      <c r="F144" s="168">
        <f>('Pivot Table for Data Exchange'!$F$339)*100</f>
        <v>0</v>
      </c>
      <c r="G144" s="179">
        <f>('Pivot Table for Data Exchange'!$F$342)*100</f>
        <v>0</v>
      </c>
      <c r="H144" s="168">
        <f>('Pivot Table for Data Exchange'!$F$345)*100</f>
        <v>0</v>
      </c>
      <c r="I144" s="174" t="s">
        <v>627</v>
      </c>
      <c r="J144" s="168">
        <f>('Pivot Table for Data Exchange'!$F$348)*100</f>
        <v>33.289161668294042</v>
      </c>
      <c r="K144" s="168">
        <f>('Pivot Table for Data Exchange'!$F$351)*100</f>
        <v>0</v>
      </c>
      <c r="L144" s="169">
        <f t="shared" si="37"/>
        <v>66.710838331705958</v>
      </c>
      <c r="M144" s="168">
        <f>('Pivot Table for Data Exchange'!$F$354)*100</f>
        <v>66.710838331705958</v>
      </c>
      <c r="N144" s="168">
        <f>('Pivot Table for Data Exchange'!$F$357)*100</f>
        <v>0</v>
      </c>
      <c r="O144" s="176">
        <f>('Pivot Table for Data Exchange'!$F$360)*100</f>
        <v>0</v>
      </c>
      <c r="P144" s="168">
        <f>('Pivot Table for Data Exchange'!$F$363)*100</f>
        <v>0</v>
      </c>
      <c r="Q144" s="173">
        <f t="shared" si="34"/>
        <v>100</v>
      </c>
      <c r="R144" s="173">
        <f t="shared" si="35"/>
        <v>100</v>
      </c>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row>
    <row r="145" spans="1:41" ht="15.75" customHeight="1">
      <c r="A145" s="139" t="s">
        <v>628</v>
      </c>
      <c r="B145" s="168">
        <f>('Pivot Table for Data Exchange'!$F$366)*100</f>
        <v>0</v>
      </c>
      <c r="C145" s="168">
        <f>('Pivot Table for Data Exchange'!$F$369)*100</f>
        <v>0</v>
      </c>
      <c r="D145" s="169">
        <f t="shared" si="36"/>
        <v>0</v>
      </c>
      <c r="E145" s="168">
        <f>('Pivot Table for Data Exchange'!$F$372)*100</f>
        <v>0</v>
      </c>
      <c r="F145" s="168">
        <f>('Pivot Table for Data Exchange'!$F$375)*100</f>
        <v>0</v>
      </c>
      <c r="G145" s="176">
        <f>('Pivot Table for Data Exchange'!$F$378)*100</f>
        <v>0</v>
      </c>
      <c r="H145" s="168">
        <f>('Pivot Table for Data Exchange'!$F$381)*100</f>
        <v>0</v>
      </c>
      <c r="I145" s="174" t="s">
        <v>628</v>
      </c>
      <c r="J145" s="168">
        <f>('Pivot Table for Data Exchange'!$F$384)*100</f>
        <v>0</v>
      </c>
      <c r="K145" s="168">
        <f>('Pivot Table for Data Exchange'!$F$387)*100</f>
        <v>0</v>
      </c>
      <c r="L145" s="169">
        <f t="shared" si="37"/>
        <v>0</v>
      </c>
      <c r="M145" s="168">
        <f>('Pivot Table for Data Exchange'!$F$390)*100</f>
        <v>0</v>
      </c>
      <c r="N145" s="168">
        <f>('Pivot Table for Data Exchange'!$F$393)*100</f>
        <v>0</v>
      </c>
      <c r="O145" s="176">
        <f>('Pivot Table for Data Exchange'!$F$396)*100</f>
        <v>0</v>
      </c>
      <c r="P145" s="168">
        <f>('Pivot Table for Data Exchange'!$F$399)*100</f>
        <v>0</v>
      </c>
      <c r="Q145" s="173">
        <f t="shared" si="34"/>
        <v>0</v>
      </c>
      <c r="R145" s="173">
        <f t="shared" si="35"/>
        <v>0</v>
      </c>
      <c r="S145" s="174"/>
      <c r="T145" s="148"/>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row>
    <row r="146" spans="1:41" ht="15.75" customHeight="1">
      <c r="A146" s="139" t="s">
        <v>629</v>
      </c>
      <c r="B146" s="168">
        <f>('Pivot Table for Data Exchange'!$F$402)*100</f>
        <v>80.524882771139005</v>
      </c>
      <c r="C146" s="168">
        <f>('Pivot Table for Data Exchange'!$F$405)*100</f>
        <v>0.88213858445290905</v>
      </c>
      <c r="D146" s="169">
        <f>SUM(E146:G146)</f>
        <v>18.592978644408081</v>
      </c>
      <c r="E146" s="168">
        <f>('Pivot Table for Data Exchange'!$F$408)*100</f>
        <v>18.592978644408081</v>
      </c>
      <c r="F146" s="168">
        <f>('Pivot Table for Data Exchange'!$F$411)*100</f>
        <v>0</v>
      </c>
      <c r="G146" s="176">
        <f>('Pivot Table for Data Exchange'!$F$414)*100</f>
        <v>0</v>
      </c>
      <c r="H146" s="168">
        <f>('Pivot Table for Data Exchange'!$F$417)*100</f>
        <v>0</v>
      </c>
      <c r="I146" s="174" t="s">
        <v>629</v>
      </c>
      <c r="J146" s="168">
        <f>('Pivot Table for Data Exchange'!$F$420)*100</f>
        <v>42.187742435996896</v>
      </c>
      <c r="K146" s="168">
        <f>('Pivot Table for Data Exchange'!$F$423)*100</f>
        <v>10.923196276183088</v>
      </c>
      <c r="L146" s="169">
        <f>SUM(M146:O146)</f>
        <v>46.889061287820013</v>
      </c>
      <c r="M146" s="168">
        <f>('Pivot Table for Data Exchange'!$F$426)*100</f>
        <v>46.889061287820013</v>
      </c>
      <c r="N146" s="168">
        <f>('Pivot Table for Data Exchange'!$F$429)*100</f>
        <v>0</v>
      </c>
      <c r="O146" s="176">
        <f>('Pivot Table for Data Exchange'!$F$432)*100</f>
        <v>0</v>
      </c>
      <c r="P146" s="168">
        <f>('Pivot Table for Data Exchange'!$F$435)*100</f>
        <v>0</v>
      </c>
      <c r="Q146" s="173">
        <f t="shared" si="34"/>
        <v>99.999999999999986</v>
      </c>
      <c r="R146" s="173">
        <f t="shared" si="35"/>
        <v>100</v>
      </c>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row>
    <row r="147" spans="1:41" ht="15.75" customHeight="1">
      <c r="B147" s="168"/>
      <c r="C147" s="168"/>
      <c r="D147" s="169"/>
      <c r="E147" s="168"/>
      <c r="F147" s="168"/>
      <c r="G147" s="176"/>
      <c r="H147" s="168"/>
      <c r="I147" s="174"/>
      <c r="J147" s="168"/>
      <c r="K147" s="168"/>
      <c r="L147" s="169"/>
      <c r="M147" s="168"/>
      <c r="N147" s="168"/>
      <c r="O147" s="176"/>
      <c r="P147" s="168"/>
      <c r="Q147" s="173">
        <f t="shared" si="34"/>
        <v>0</v>
      </c>
      <c r="R147" s="173">
        <f t="shared" si="35"/>
        <v>0</v>
      </c>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row>
    <row r="148" spans="1:41" ht="15.75" customHeight="1">
      <c r="A148" s="139" t="s">
        <v>630</v>
      </c>
      <c r="B148" s="168">
        <f>('Pivot Table for Data Exchange'!$F$438)*100</f>
        <v>73.189299773720592</v>
      </c>
      <c r="C148" s="168">
        <f>('Pivot Table for Data Exchange'!$F$441)*100</f>
        <v>9.0741142556027405</v>
      </c>
      <c r="D148" s="169">
        <f>SUM(E148:G148)</f>
        <v>17.585319735904033</v>
      </c>
      <c r="E148" s="168">
        <f>('Pivot Table for Data Exchange'!$F$444)*100</f>
        <v>14.925761755680234</v>
      </c>
      <c r="F148" s="168">
        <f>('Pivot Table for Data Exchange'!$F$447)*100</f>
        <v>2.6465391649359908</v>
      </c>
      <c r="G148" s="176">
        <f>('Pivot Table for Data Exchange'!$F$450)*100</f>
        <v>1.3018815287808809E-2</v>
      </c>
      <c r="H148" s="168">
        <f>('Pivot Table for Data Exchange'!$F$453)*100</f>
        <v>0.1512662347726357</v>
      </c>
      <c r="I148" s="174" t="s">
        <v>630</v>
      </c>
      <c r="J148" s="168">
        <f>('Pivot Table for Data Exchange'!$F$456)*100</f>
        <v>9.623059866962306</v>
      </c>
      <c r="K148" s="168">
        <f>('Pivot Table for Data Exchange'!$F$459)*100</f>
        <v>4.4345898004434586E-2</v>
      </c>
      <c r="L148" s="169">
        <f>SUM(M148:O148)</f>
        <v>90.332594235033255</v>
      </c>
      <c r="M148" s="168">
        <f>('Pivot Table for Data Exchange'!$F$462)*100</f>
        <v>90.332594235033255</v>
      </c>
      <c r="N148" s="168">
        <f>('Pivot Table for Data Exchange'!$F$465)*100</f>
        <v>0</v>
      </c>
      <c r="O148" s="176">
        <f>('Pivot Table for Data Exchange'!$F$468)*100</f>
        <v>0</v>
      </c>
      <c r="P148" s="168">
        <f>('Pivot Table for Data Exchange'!$F$471)*100</f>
        <v>0</v>
      </c>
      <c r="Q148" s="173">
        <f t="shared" si="34"/>
        <v>100</v>
      </c>
      <c r="R148" s="173">
        <f t="shared" si="35"/>
        <v>100</v>
      </c>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row>
    <row r="149" spans="1:41" ht="15.75" customHeight="1">
      <c r="A149" s="139" t="s">
        <v>631</v>
      </c>
      <c r="B149" s="168">
        <f>('Pivot Table for Data Exchange'!$F$474)*100</f>
        <v>0</v>
      </c>
      <c r="C149" s="168">
        <f>('Pivot Table for Data Exchange'!$F$477)*100</f>
        <v>0</v>
      </c>
      <c r="D149" s="169">
        <f>SUM(E149:G149)</f>
        <v>0</v>
      </c>
      <c r="E149" s="168">
        <f>('Pivot Table for Data Exchange'!$F$480)*100</f>
        <v>0</v>
      </c>
      <c r="F149" s="168">
        <f>('Pivot Table for Data Exchange'!$F$483)*100</f>
        <v>0</v>
      </c>
      <c r="G149" s="176">
        <f>('Pivot Table for Data Exchange'!$F$486)*100</f>
        <v>0</v>
      </c>
      <c r="H149" s="168">
        <f>('Pivot Table for Data Exchange'!$F$489)*100</f>
        <v>0</v>
      </c>
      <c r="I149" s="174" t="s">
        <v>631</v>
      </c>
      <c r="J149" s="168">
        <f>('Pivot Table for Data Exchange'!$F$492)*100</f>
        <v>0</v>
      </c>
      <c r="K149" s="168">
        <f>('Pivot Table for Data Exchange'!$F$495)*100</f>
        <v>0</v>
      </c>
      <c r="L149" s="169">
        <f>SUM(M149:O149)</f>
        <v>0</v>
      </c>
      <c r="M149" s="168">
        <f>('Pivot Table for Data Exchange'!$F$498)*100</f>
        <v>0</v>
      </c>
      <c r="N149" s="168">
        <f>('Pivot Table for Data Exchange'!$F$501)*100</f>
        <v>0</v>
      </c>
      <c r="O149" s="176">
        <f>('Pivot Table for Data Exchange'!$F$504)*100</f>
        <v>0</v>
      </c>
      <c r="P149" s="168">
        <f>('Pivot Table for Data Exchange'!$F$507)*100</f>
        <v>0</v>
      </c>
      <c r="Q149" s="173">
        <f t="shared" si="34"/>
        <v>0</v>
      </c>
      <c r="R149" s="173">
        <f t="shared" si="35"/>
        <v>0</v>
      </c>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row>
    <row r="150" spans="1:41" ht="15.75" customHeight="1">
      <c r="A150" s="139" t="s">
        <v>632</v>
      </c>
      <c r="B150" s="168">
        <f>('Pivot Table for Data Exchange'!$F$510)*100</f>
        <v>76.56402274942181</v>
      </c>
      <c r="C150" s="168">
        <f>('Pivot Table for Data Exchange'!$F$513)*100</f>
        <v>0.15054764432937207</v>
      </c>
      <c r="D150" s="169">
        <f t="shared" ref="D150" si="38">SUM(E150:G150)</f>
        <v>23.285429606248815</v>
      </c>
      <c r="E150" s="168">
        <f>('Pivot Table for Data Exchange'!$F$516)*100</f>
        <v>23.285429606248815</v>
      </c>
      <c r="F150" s="168">
        <f>('Pivot Table for Data Exchange'!$F$519)*100</f>
        <v>0</v>
      </c>
      <c r="G150" s="176">
        <f>('Pivot Table for Data Exchange'!$F$522)*100</f>
        <v>0</v>
      </c>
      <c r="H150" s="168">
        <f>('Pivot Table for Data Exchange'!$F$525)*100</f>
        <v>0</v>
      </c>
      <c r="I150" s="174" t="s">
        <v>632</v>
      </c>
      <c r="J150" s="168">
        <f>('Pivot Table for Data Exchange'!$F$528)*100</f>
        <v>77.776613579212068</v>
      </c>
      <c r="K150" s="168">
        <f>('Pivot Table for Data Exchange'!$F$531)*100</f>
        <v>9.4300083822296737E-2</v>
      </c>
      <c r="L150" s="169">
        <f t="shared" ref="L150" si="39">SUM(M150:O150)</f>
        <v>22.129086336965635</v>
      </c>
      <c r="M150" s="168">
        <f>('Pivot Table for Data Exchange'!$F$534)*100</f>
        <v>22.129086336965635</v>
      </c>
      <c r="N150" s="168">
        <f>('Pivot Table for Data Exchange'!$F$537)*100</f>
        <v>0</v>
      </c>
      <c r="O150" s="176">
        <f>('Pivot Table for Data Exchange'!$F$540)*100</f>
        <v>0</v>
      </c>
      <c r="P150" s="168">
        <f>('Pivot Table for Data Exchange'!$F$543)*100</f>
        <v>0</v>
      </c>
      <c r="Q150" s="173">
        <f t="shared" si="34"/>
        <v>100</v>
      </c>
      <c r="R150" s="173">
        <f t="shared" si="35"/>
        <v>100</v>
      </c>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row>
    <row r="151" spans="1:41" ht="15.75" customHeight="1">
      <c r="A151" s="145" t="s">
        <v>633</v>
      </c>
      <c r="B151" s="181">
        <f>('Pivot Table for Data Exchange'!$F$546)*100</f>
        <v>0</v>
      </c>
      <c r="C151" s="181">
        <f>('Pivot Table for Data Exchange'!$F$549)*100</f>
        <v>0</v>
      </c>
      <c r="D151" s="182">
        <f>SUM(E151:G151)</f>
        <v>0</v>
      </c>
      <c r="E151" s="181">
        <f>('Pivot Table for Data Exchange'!$F$552)*100</f>
        <v>0</v>
      </c>
      <c r="F151" s="181">
        <f>('Pivot Table for Data Exchange'!$F$555)*100</f>
        <v>0</v>
      </c>
      <c r="G151" s="183">
        <f>('Pivot Table for Data Exchange'!$F$558)*100</f>
        <v>0</v>
      </c>
      <c r="H151" s="181">
        <f>('Pivot Table for Data Exchange'!$F$561)*100</f>
        <v>0</v>
      </c>
      <c r="I151" s="184" t="s">
        <v>633</v>
      </c>
      <c r="J151" s="181">
        <f>('Pivot Table for Data Exchange'!$F$564)*100</f>
        <v>0</v>
      </c>
      <c r="K151" s="181">
        <f>('Pivot Table for Data Exchange'!$F$567)*100</f>
        <v>0</v>
      </c>
      <c r="L151" s="182">
        <f>SUM(M151:O151)</f>
        <v>0</v>
      </c>
      <c r="M151" s="181">
        <f>('Pivot Table for Data Exchange'!$F$570)*100</f>
        <v>0</v>
      </c>
      <c r="N151" s="181">
        <f>('Pivot Table for Data Exchange'!$F$573)*100</f>
        <v>0</v>
      </c>
      <c r="O151" s="183">
        <f>('Pivot Table for Data Exchange'!$F$576)*100</f>
        <v>0</v>
      </c>
      <c r="P151" s="181">
        <f>('Pivot Table for Data Exchange'!$F$579)*100</f>
        <v>0</v>
      </c>
      <c r="Q151" s="173">
        <f t="shared" si="34"/>
        <v>0</v>
      </c>
      <c r="R151" s="173">
        <f t="shared" si="35"/>
        <v>0</v>
      </c>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row>
    <row r="152" spans="1:41" s="186" customFormat="1" ht="12.75" customHeight="1">
      <c r="A152" s="187" t="s">
        <v>658</v>
      </c>
      <c r="B152" s="188"/>
      <c r="C152" s="188"/>
      <c r="D152" s="189"/>
      <c r="E152" s="188"/>
      <c r="F152" s="189"/>
      <c r="G152" s="189"/>
      <c r="H152" s="188"/>
      <c r="I152" s="187" t="s">
        <v>658</v>
      </c>
      <c r="J152" s="188"/>
      <c r="K152" s="188"/>
      <c r="L152" s="189"/>
      <c r="M152" s="188"/>
      <c r="N152" s="189"/>
      <c r="O152" s="189"/>
      <c r="P152" s="188"/>
      <c r="Q152" s="173"/>
      <c r="R152" s="173"/>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row>
    <row r="153" spans="1:41" s="186" customFormat="1" ht="24" customHeight="1">
      <c r="A153" s="492" t="s">
        <v>664</v>
      </c>
      <c r="B153" s="505"/>
      <c r="C153" s="505"/>
      <c r="D153" s="505"/>
      <c r="E153" s="505"/>
      <c r="F153" s="505"/>
      <c r="G153" s="505"/>
      <c r="H153" s="505"/>
      <c r="I153" s="492" t="s">
        <v>664</v>
      </c>
      <c r="J153" s="505"/>
      <c r="K153" s="505"/>
      <c r="L153" s="505"/>
      <c r="M153" s="505"/>
      <c r="N153" s="505"/>
      <c r="O153" s="505"/>
      <c r="P153" s="505"/>
      <c r="Q153" s="173"/>
      <c r="R153" s="173"/>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row>
    <row r="154" spans="1:41" s="186" customFormat="1" ht="9.75" customHeight="1">
      <c r="A154" s="191"/>
      <c r="B154" s="141"/>
      <c r="C154" s="141"/>
      <c r="D154" s="141"/>
      <c r="E154" s="141"/>
      <c r="F154" s="141"/>
      <c r="G154" s="141"/>
      <c r="H154" s="141"/>
      <c r="I154" s="191"/>
      <c r="J154" s="141"/>
      <c r="K154" s="141"/>
      <c r="L154" s="141"/>
      <c r="M154" s="141"/>
      <c r="N154" s="141"/>
      <c r="O154" s="141"/>
      <c r="P154" s="141"/>
      <c r="Q154" s="173"/>
      <c r="R154" s="173"/>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row>
    <row r="155" spans="1:41" s="186" customFormat="1" ht="13.5" customHeight="1">
      <c r="A155" s="197"/>
      <c r="B155" s="198"/>
      <c r="H155" s="192" t="s">
        <v>923</v>
      </c>
      <c r="I155" s="197"/>
      <c r="P155" s="192" t="s">
        <v>923</v>
      </c>
      <c r="Q155" s="173"/>
      <c r="R155" s="173"/>
    </row>
    <row r="156" spans="1:41" ht="18">
      <c r="A156" s="134" t="s">
        <v>667</v>
      </c>
      <c r="B156" s="135"/>
      <c r="C156" s="135"/>
      <c r="D156" s="135"/>
      <c r="E156" s="135"/>
      <c r="F156" s="135"/>
      <c r="G156" s="135"/>
      <c r="H156" s="135"/>
      <c r="I156" s="134" t="s">
        <v>668</v>
      </c>
      <c r="J156" s="136"/>
      <c r="K156" s="136"/>
      <c r="L156" s="135"/>
      <c r="M156" s="136"/>
      <c r="N156" s="136"/>
      <c r="O156" s="136"/>
      <c r="P156" s="136"/>
      <c r="Q156" s="173"/>
      <c r="R156" s="173"/>
    </row>
    <row r="157" spans="1:41" ht="13">
      <c r="A157" s="140"/>
      <c r="B157" s="136"/>
      <c r="C157" s="136"/>
      <c r="D157" s="136"/>
      <c r="E157" s="136"/>
      <c r="F157" s="136"/>
      <c r="G157" s="136"/>
      <c r="H157" s="136"/>
      <c r="I157" s="140"/>
      <c r="J157" s="136"/>
      <c r="K157" s="136"/>
      <c r="L157" s="136"/>
      <c r="M157" s="136"/>
      <c r="N157" s="136"/>
      <c r="O157" s="136"/>
      <c r="P157" s="136"/>
      <c r="Q157" s="173"/>
      <c r="R157" s="173"/>
    </row>
    <row r="158" spans="1:41" ht="15.5">
      <c r="A158" s="142" t="s">
        <v>639</v>
      </c>
      <c r="B158" s="136"/>
      <c r="C158" s="136"/>
      <c r="D158" s="136"/>
      <c r="E158" s="136"/>
      <c r="F158" s="136"/>
      <c r="G158" s="136"/>
      <c r="H158" s="136"/>
      <c r="I158" s="142" t="s">
        <v>640</v>
      </c>
      <c r="J158" s="136"/>
      <c r="K158" s="136"/>
      <c r="L158" s="136"/>
      <c r="M158" s="136"/>
      <c r="N158" s="136"/>
      <c r="O158" s="136"/>
      <c r="P158" s="136"/>
      <c r="Q158" s="173"/>
      <c r="R158" s="173"/>
    </row>
    <row r="159" spans="1:41" ht="15.5">
      <c r="A159" s="142" t="s">
        <v>751</v>
      </c>
      <c r="B159" s="136"/>
      <c r="C159" s="136"/>
      <c r="D159" s="136"/>
      <c r="E159" s="136"/>
      <c r="F159" s="136"/>
      <c r="G159" s="136"/>
      <c r="H159" s="136"/>
      <c r="I159" s="142" t="s">
        <v>751</v>
      </c>
      <c r="J159" s="136"/>
      <c r="K159" s="136"/>
      <c r="L159" s="136"/>
      <c r="M159" s="136"/>
      <c r="N159" s="136"/>
      <c r="O159" s="136"/>
      <c r="P159" s="136"/>
      <c r="Q159" s="173"/>
      <c r="R159" s="173"/>
    </row>
    <row r="160" spans="1:41">
      <c r="A160" s="145"/>
      <c r="B160" s="146"/>
      <c r="C160" s="146"/>
      <c r="D160" s="146"/>
      <c r="E160" s="146"/>
      <c r="F160" s="146"/>
      <c r="G160" s="146"/>
      <c r="H160" s="146"/>
      <c r="I160" s="147"/>
      <c r="L160" s="148"/>
      <c r="P160" s="145"/>
      <c r="Q160" s="173"/>
      <c r="R160" s="173"/>
    </row>
    <row r="161" spans="1:41" s="155" customFormat="1">
      <c r="A161" s="150"/>
      <c r="B161" s="151" t="s">
        <v>641</v>
      </c>
      <c r="C161" s="151"/>
      <c r="D161" s="151"/>
      <c r="E161" s="151"/>
      <c r="F161" s="151"/>
      <c r="G161" s="151"/>
      <c r="H161" s="152"/>
      <c r="I161" s="150"/>
      <c r="J161" s="151" t="s">
        <v>641</v>
      </c>
      <c r="K161" s="151"/>
      <c r="L161" s="151"/>
      <c r="M161" s="151"/>
      <c r="N161" s="151"/>
      <c r="O161" s="151"/>
      <c r="P161" s="152"/>
      <c r="Q161" s="173"/>
      <c r="R161" s="173"/>
    </row>
    <row r="162" spans="1:41" s="155" customFormat="1">
      <c r="A162" s="150"/>
      <c r="B162" s="151" t="s">
        <v>642</v>
      </c>
      <c r="C162" s="151"/>
      <c r="D162" s="487" t="s">
        <v>643</v>
      </c>
      <c r="E162" s="485"/>
      <c r="F162" s="485"/>
      <c r="G162" s="485"/>
      <c r="H162" s="158" t="s">
        <v>533</v>
      </c>
      <c r="I162" s="150"/>
      <c r="J162" s="151" t="s">
        <v>642</v>
      </c>
      <c r="K162" s="151"/>
      <c r="L162" s="487" t="s">
        <v>643</v>
      </c>
      <c r="M162" s="485"/>
      <c r="N162" s="485"/>
      <c r="O162" s="485"/>
      <c r="P162" s="158" t="s">
        <v>533</v>
      </c>
      <c r="Q162" s="173"/>
      <c r="R162" s="173"/>
    </row>
    <row r="163" spans="1:41" s="155" customFormat="1" ht="40.5" customHeight="1">
      <c r="A163" s="150"/>
      <c r="B163" s="159" t="s">
        <v>644</v>
      </c>
      <c r="C163" s="160" t="s">
        <v>645</v>
      </c>
      <c r="D163" s="161" t="s">
        <v>646</v>
      </c>
      <c r="E163" s="162" t="s">
        <v>8</v>
      </c>
      <c r="F163" s="159" t="s">
        <v>647</v>
      </c>
      <c r="G163" s="163" t="s">
        <v>656</v>
      </c>
      <c r="H163" s="164" t="s">
        <v>649</v>
      </c>
      <c r="I163" s="150"/>
      <c r="J163" s="159" t="s">
        <v>644</v>
      </c>
      <c r="K163" s="160" t="s">
        <v>645</v>
      </c>
      <c r="L163" s="161" t="s">
        <v>646</v>
      </c>
      <c r="M163" s="162" t="s">
        <v>8</v>
      </c>
      <c r="N163" s="159" t="s">
        <v>647</v>
      </c>
      <c r="O163" s="163" t="s">
        <v>656</v>
      </c>
      <c r="P163" s="164" t="s">
        <v>649</v>
      </c>
      <c r="Q163" s="173"/>
      <c r="R163" s="173"/>
      <c r="T163" s="193"/>
    </row>
    <row r="164" spans="1:41" ht="15.75" customHeight="1">
      <c r="A164" s="194" t="s">
        <v>618</v>
      </c>
      <c r="B164" s="168">
        <f>('Pivot Table for Data Exchange'!$G$6)*100</f>
        <v>90.002421893921053</v>
      </c>
      <c r="C164" s="168">
        <f>('Pivot Table for Data Exchange'!$G$9)*100</f>
        <v>0</v>
      </c>
      <c r="D164" s="169">
        <f>SUM(E164:G164)</f>
        <v>9.9975781060789544</v>
      </c>
      <c r="E164" s="168">
        <f>('Pivot Table for Data Exchange'!$G$12)*100</f>
        <v>9.9975781060789544</v>
      </c>
      <c r="F164" s="168">
        <f>('Pivot Table for Data Exchange'!$G$15)*100</f>
        <v>0</v>
      </c>
      <c r="G164" s="172">
        <f>('Pivot Table for Data Exchange'!$G$18)*100</f>
        <v>0</v>
      </c>
      <c r="H164" s="168">
        <f>('Pivot Table for Data Exchange'!$G$21)*100</f>
        <v>0</v>
      </c>
      <c r="I164" s="171" t="s">
        <v>618</v>
      </c>
      <c r="J164" s="168">
        <f>('Pivot Table for Data Exchange'!$G$24)*100</f>
        <v>69.041233657391885</v>
      </c>
      <c r="K164" s="168">
        <f>('Pivot Table for Data Exchange'!$G$27)*100</f>
        <v>10.526315789473683</v>
      </c>
      <c r="L164" s="169">
        <f>SUM(M164:O164)</f>
        <v>20.43245055313443</v>
      </c>
      <c r="M164" s="168">
        <f>('Pivot Table for Data Exchange'!$G$30)*100</f>
        <v>20.43245055313443</v>
      </c>
      <c r="N164" s="168">
        <f>('Pivot Table for Data Exchange'!$G$33)*100</f>
        <v>0</v>
      </c>
      <c r="O164" s="172">
        <f>('Pivot Table for Data Exchange'!$G$36)*100</f>
        <v>0</v>
      </c>
      <c r="P164" s="168">
        <f>('Pivot Table for Data Exchange'!$G$39)*100</f>
        <v>0</v>
      </c>
      <c r="Q164" s="173">
        <f>SUM(B164,C164,D164,H164)</f>
        <v>100</v>
      </c>
      <c r="R164" s="173">
        <f t="shared" si="35"/>
        <v>100</v>
      </c>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row>
    <row r="165" spans="1:41" ht="15.75" customHeight="1">
      <c r="A165" s="139" t="s">
        <v>619</v>
      </c>
      <c r="B165" s="168">
        <f>('Pivot Table for Data Exchange'!$G$42)*100</f>
        <v>0</v>
      </c>
      <c r="C165" s="168">
        <f>('Pivot Table for Data Exchange'!$G$45)*100</f>
        <v>0</v>
      </c>
      <c r="D165" s="169">
        <f t="shared" ref="D165:D167" si="40">SUM(E165:G165)</f>
        <v>0</v>
      </c>
      <c r="E165" s="168">
        <f>('Pivot Table for Data Exchange'!$G$48)*100</f>
        <v>0</v>
      </c>
      <c r="F165" s="168">
        <f>('Pivot Table for Data Exchange'!$G$51)*100</f>
        <v>0</v>
      </c>
      <c r="G165" s="176">
        <f>('Pivot Table for Data Exchange'!$G$54)*100</f>
        <v>0</v>
      </c>
      <c r="H165" s="180">
        <f>('Pivot Table for Data Exchange'!$G$57)*100</f>
        <v>0</v>
      </c>
      <c r="I165" s="174" t="s">
        <v>619</v>
      </c>
      <c r="J165" s="168">
        <f>('Pivot Table for Data Exchange'!$G$60)*100</f>
        <v>0</v>
      </c>
      <c r="K165" s="168">
        <f>('Pivot Table for Data Exchange'!$G$63)*100</f>
        <v>0</v>
      </c>
      <c r="L165" s="169">
        <f t="shared" ref="L165:L167" si="41">SUM(M165:O165)</f>
        <v>0</v>
      </c>
      <c r="M165" s="168">
        <f>('Pivot Table for Data Exchange'!$G$66)*100</f>
        <v>0</v>
      </c>
      <c r="N165" s="168">
        <f>('Pivot Table for Data Exchange'!$G$69)*100</f>
        <v>0</v>
      </c>
      <c r="O165" s="176">
        <f>('Pivot Table for Data Exchange'!$G$72)*100</f>
        <v>0</v>
      </c>
      <c r="P165" s="168">
        <f>('Pivot Table for Data Exchange'!$G$75)*100</f>
        <v>0</v>
      </c>
      <c r="Q165" s="173">
        <f t="shared" si="34"/>
        <v>0</v>
      </c>
      <c r="R165" s="173">
        <f t="shared" si="35"/>
        <v>0</v>
      </c>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row>
    <row r="166" spans="1:41" ht="15.75" customHeight="1">
      <c r="A166" s="139" t="s">
        <v>620</v>
      </c>
      <c r="B166" s="168">
        <f>('Pivot Table for Data Exchange'!$G$78)*100</f>
        <v>0</v>
      </c>
      <c r="C166" s="168">
        <f>('Pivot Table for Data Exchange'!$G$81)*100</f>
        <v>0</v>
      </c>
      <c r="D166" s="169">
        <f t="shared" si="40"/>
        <v>0</v>
      </c>
      <c r="E166" s="168">
        <f>('Pivot Table for Data Exchange'!$G$84)*100</f>
        <v>0</v>
      </c>
      <c r="F166" s="168">
        <f>('Pivot Table for Data Exchange'!$G$87)*100</f>
        <v>0</v>
      </c>
      <c r="G166" s="176">
        <f>('Pivot Table for Data Exchange'!$G$90)*100</f>
        <v>0</v>
      </c>
      <c r="H166" s="168">
        <f>('Pivot Table for Data Exchange'!$G$93)*100</f>
        <v>0</v>
      </c>
      <c r="I166" s="174" t="s">
        <v>620</v>
      </c>
      <c r="J166" s="168">
        <f>('Pivot Table for Data Exchange'!$G$96)*100</f>
        <v>0</v>
      </c>
      <c r="K166" s="168">
        <f>('Pivot Table for Data Exchange'!$G$99)*100</f>
        <v>0</v>
      </c>
      <c r="L166" s="169">
        <f t="shared" si="41"/>
        <v>0</v>
      </c>
      <c r="M166" s="168">
        <f>('Pivot Table for Data Exchange'!$G$102)*100</f>
        <v>0</v>
      </c>
      <c r="N166" s="168">
        <f>('Pivot Table for Data Exchange'!$G$105)*100</f>
        <v>0</v>
      </c>
      <c r="O166" s="176">
        <f>('Pivot Table for Data Exchange'!$G$108)*100</f>
        <v>0</v>
      </c>
      <c r="P166" s="168">
        <f>('Pivot Table for Data Exchange'!$G$111)*100</f>
        <v>0</v>
      </c>
      <c r="Q166" s="173">
        <f t="shared" si="34"/>
        <v>0</v>
      </c>
      <c r="R166" s="173">
        <f t="shared" si="35"/>
        <v>0</v>
      </c>
      <c r="S166" s="174"/>
      <c r="T166" s="148"/>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row>
    <row r="167" spans="1:41" ht="15.75" customHeight="1">
      <c r="A167" s="139" t="s">
        <v>621</v>
      </c>
      <c r="B167" s="168">
        <f>('Pivot Table for Data Exchange'!$G$114)*100</f>
        <v>0</v>
      </c>
      <c r="C167" s="168">
        <f>('Pivot Table for Data Exchange'!$G$117)*100</f>
        <v>0</v>
      </c>
      <c r="D167" s="169">
        <f t="shared" si="40"/>
        <v>0</v>
      </c>
      <c r="E167" s="168">
        <f>('Pivot Table for Data Exchange'!$G$120)*100</f>
        <v>0</v>
      </c>
      <c r="F167" s="168">
        <f>('Pivot Table for Data Exchange'!$G$123)*100</f>
        <v>0</v>
      </c>
      <c r="G167" s="176">
        <f>('Pivot Table for Data Exchange'!$G$126)*100</f>
        <v>0</v>
      </c>
      <c r="H167" s="168">
        <f>('Pivot Table for Data Exchange'!$G$129)*100</f>
        <v>0</v>
      </c>
      <c r="I167" s="174" t="s">
        <v>621</v>
      </c>
      <c r="J167" s="168">
        <f>('Pivot Table for Data Exchange'!$G$132)*100</f>
        <v>0</v>
      </c>
      <c r="K167" s="168">
        <f>('Pivot Table for Data Exchange'!$G$135)*100</f>
        <v>0</v>
      </c>
      <c r="L167" s="169">
        <f t="shared" si="41"/>
        <v>0</v>
      </c>
      <c r="M167" s="168">
        <f>('Pivot Table for Data Exchange'!$G$138)*100</f>
        <v>0</v>
      </c>
      <c r="N167" s="168">
        <f>('Pivot Table for Data Exchange'!$G$141)*100</f>
        <v>0</v>
      </c>
      <c r="O167" s="176">
        <f>('Pivot Table for Data Exchange'!$G$144)*100</f>
        <v>0</v>
      </c>
      <c r="P167" s="168">
        <f>('Pivot Table for Data Exchange'!$G$147)*100</f>
        <v>0</v>
      </c>
      <c r="Q167" s="173">
        <f t="shared" si="34"/>
        <v>0</v>
      </c>
      <c r="R167" s="173">
        <f t="shared" si="35"/>
        <v>0</v>
      </c>
      <c r="S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row>
    <row r="168" spans="1:41" ht="10.5" customHeight="1">
      <c r="B168" s="168"/>
      <c r="C168" s="168"/>
      <c r="D168" s="169"/>
      <c r="E168" s="168"/>
      <c r="F168" s="168"/>
      <c r="G168" s="176"/>
      <c r="H168" s="168"/>
      <c r="I168" s="174"/>
      <c r="J168" s="168"/>
      <c r="K168" s="168"/>
      <c r="L168" s="169"/>
      <c r="M168" s="168"/>
      <c r="N168" s="168"/>
      <c r="O168" s="176"/>
      <c r="P168" s="168"/>
      <c r="Q168" s="173">
        <f t="shared" si="34"/>
        <v>0</v>
      </c>
      <c r="R168" s="173">
        <f t="shared" si="35"/>
        <v>0</v>
      </c>
      <c r="S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row>
    <row r="169" spans="1:41" ht="15.75" customHeight="1">
      <c r="A169" s="139" t="s">
        <v>622</v>
      </c>
      <c r="B169" s="168">
        <f>('Pivot Table for Data Exchange'!$G$150)*100</f>
        <v>68.244819196241295</v>
      </c>
      <c r="C169" s="168">
        <f>('Pivot Table for Data Exchange'!$G$153)*100</f>
        <v>0.50032161534804376</v>
      </c>
      <c r="D169" s="169">
        <f t="shared" ref="D169:D172" si="42">SUM(E169:G169)</f>
        <v>31.254859188410663</v>
      </c>
      <c r="E169" s="168">
        <f>('Pivot Table for Data Exchange'!$G$156)*100</f>
        <v>30.730486338339347</v>
      </c>
      <c r="F169" s="168">
        <f>('Pivot Table for Data Exchange'!$G$159)*100</f>
        <v>0.28581816147887124</v>
      </c>
      <c r="G169" s="176">
        <f>('Pivot Table for Data Exchange'!$G$162)*100</f>
        <v>0.23855468859244341</v>
      </c>
      <c r="H169" s="168">
        <f>('Pivot Table for Data Exchange'!$G$165)*100</f>
        <v>0</v>
      </c>
      <c r="I169" s="174" t="s">
        <v>622</v>
      </c>
      <c r="J169" s="168">
        <f>('Pivot Table for Data Exchange'!$G$168)*100</f>
        <v>43.910191384324072</v>
      </c>
      <c r="K169" s="168">
        <f>('Pivot Table for Data Exchange'!$G$171)*100</f>
        <v>10.306350172448772</v>
      </c>
      <c r="L169" s="169">
        <f t="shared" ref="L169:L172" si="43">SUM(M169:O169)</f>
        <v>45.783458443227161</v>
      </c>
      <c r="M169" s="168">
        <f>('Pivot Table for Data Exchange'!$G$174)*100</f>
        <v>45.431798201122611</v>
      </c>
      <c r="N169" s="168">
        <f>('Pivot Table for Data Exchange'!$G$177)*100</f>
        <v>0</v>
      </c>
      <c r="O169" s="176">
        <f>('Pivot Table for Data Exchange'!$G$180)*100</f>
        <v>0.35166024210455127</v>
      </c>
      <c r="P169" s="168">
        <f>('Pivot Table for Data Exchange'!$G$183)*100</f>
        <v>0</v>
      </c>
      <c r="Q169" s="173">
        <f t="shared" si="34"/>
        <v>100</v>
      </c>
      <c r="R169" s="173">
        <f t="shared" si="35"/>
        <v>100</v>
      </c>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row>
    <row r="170" spans="1:41" ht="15.75" customHeight="1">
      <c r="A170" s="139" t="s">
        <v>623</v>
      </c>
      <c r="B170" s="168">
        <f>('Pivot Table for Data Exchange'!$G$186)*100</f>
        <v>0</v>
      </c>
      <c r="C170" s="168">
        <f>('Pivot Table for Data Exchange'!$G$189)*100</f>
        <v>0</v>
      </c>
      <c r="D170" s="169">
        <f t="shared" si="42"/>
        <v>0</v>
      </c>
      <c r="E170" s="168">
        <f>('Pivot Table for Data Exchange'!$G$192)*100</f>
        <v>0</v>
      </c>
      <c r="F170" s="168">
        <f>('Pivot Table for Data Exchange'!$G$195)*100</f>
        <v>0</v>
      </c>
      <c r="G170" s="176">
        <f>('Pivot Table for Data Exchange'!$G$198)*100</f>
        <v>0</v>
      </c>
      <c r="H170" s="168">
        <f>('Pivot Table for Data Exchange'!$G$201)*100</f>
        <v>0</v>
      </c>
      <c r="I170" s="174" t="s">
        <v>623</v>
      </c>
      <c r="J170" s="168">
        <f>('Pivot Table for Data Exchange'!$G$204)*100</f>
        <v>0</v>
      </c>
      <c r="K170" s="168">
        <f>('Pivot Table for Data Exchange'!$G$207)*100</f>
        <v>0</v>
      </c>
      <c r="L170" s="169">
        <f t="shared" si="43"/>
        <v>0</v>
      </c>
      <c r="M170" s="168">
        <f>('Pivot Table for Data Exchange'!$G$210)*100</f>
        <v>0</v>
      </c>
      <c r="N170" s="168">
        <f>('Pivot Table for Data Exchange'!$G$213)*100</f>
        <v>0</v>
      </c>
      <c r="O170" s="176">
        <f>('Pivot Table for Data Exchange'!$G$216)*100</f>
        <v>0</v>
      </c>
      <c r="P170" s="168">
        <f>('Pivot Table for Data Exchange'!$G$219)*100</f>
        <v>0</v>
      </c>
      <c r="Q170" s="173">
        <f t="shared" si="34"/>
        <v>0</v>
      </c>
      <c r="R170" s="173">
        <f t="shared" si="35"/>
        <v>0</v>
      </c>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row>
    <row r="171" spans="1:41" ht="15.75" customHeight="1">
      <c r="A171" s="139" t="s">
        <v>624</v>
      </c>
      <c r="B171" s="168">
        <f>('Pivot Table for Data Exchange'!$G$222)*100</f>
        <v>69.724025974025977</v>
      </c>
      <c r="C171" s="168">
        <f>('Pivot Table for Data Exchange'!$G$225)*100</f>
        <v>0</v>
      </c>
      <c r="D171" s="169">
        <f t="shared" si="42"/>
        <v>30.27597402597403</v>
      </c>
      <c r="E171" s="168">
        <f>('Pivot Table for Data Exchange'!$G$228)*100</f>
        <v>30.27597402597403</v>
      </c>
      <c r="F171" s="168">
        <f>('Pivot Table for Data Exchange'!$G$231)*100</f>
        <v>0</v>
      </c>
      <c r="G171" s="176">
        <f>('Pivot Table for Data Exchange'!$G$234)*100</f>
        <v>0</v>
      </c>
      <c r="H171" s="168">
        <f>('Pivot Table for Data Exchange'!$G$237)*100</f>
        <v>0</v>
      </c>
      <c r="I171" s="174" t="s">
        <v>624</v>
      </c>
      <c r="J171" s="168">
        <f>('Pivot Table for Data Exchange'!$G$240)*100</f>
        <v>73.103448275862064</v>
      </c>
      <c r="K171" s="168">
        <f>('Pivot Table for Data Exchange'!$G$243)*100</f>
        <v>0</v>
      </c>
      <c r="L171" s="169">
        <f t="shared" si="43"/>
        <v>26.896551724137936</v>
      </c>
      <c r="M171" s="168">
        <f>('Pivot Table for Data Exchange'!$G$246)*100</f>
        <v>26.896551724137936</v>
      </c>
      <c r="N171" s="168">
        <f>('Pivot Table for Data Exchange'!$G$249)*100</f>
        <v>0</v>
      </c>
      <c r="O171" s="176">
        <f>('Pivot Table for Data Exchange'!$G$252)*100</f>
        <v>0</v>
      </c>
      <c r="P171" s="168">
        <f>('Pivot Table for Data Exchange'!$G$255)*100</f>
        <v>0</v>
      </c>
      <c r="Q171" s="173">
        <f t="shared" si="34"/>
        <v>100</v>
      </c>
      <c r="R171" s="173">
        <f t="shared" si="35"/>
        <v>100</v>
      </c>
      <c r="S171" s="174"/>
      <c r="T171" s="148"/>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row>
    <row r="172" spans="1:41" ht="15.75" customHeight="1">
      <c r="A172" s="139" t="s">
        <v>625</v>
      </c>
      <c r="B172" s="168">
        <f>('Pivot Table for Data Exchange'!$G$258)*100</f>
        <v>79.782962200909296</v>
      </c>
      <c r="C172" s="168">
        <f>('Pivot Table for Data Exchange'!$G$261)*100</f>
        <v>0</v>
      </c>
      <c r="D172" s="169">
        <f t="shared" si="42"/>
        <v>20.217037799090697</v>
      </c>
      <c r="E172" s="168">
        <f>('Pivot Table for Data Exchange'!$G$264)*100</f>
        <v>20.217037799090697</v>
      </c>
      <c r="F172" s="168">
        <f>('Pivot Table for Data Exchange'!$G$267)*100</f>
        <v>0</v>
      </c>
      <c r="G172" s="176">
        <f>('Pivot Table for Data Exchange'!$G$270)*100</f>
        <v>0</v>
      </c>
      <c r="H172" s="168">
        <f>('Pivot Table for Data Exchange'!$G$273)*100</f>
        <v>0</v>
      </c>
      <c r="I172" s="174" t="s">
        <v>625</v>
      </c>
      <c r="J172" s="168">
        <f>('Pivot Table for Data Exchange'!$G$276)*100</f>
        <v>84.578523197560443</v>
      </c>
      <c r="K172" s="168">
        <f>('Pivot Table for Data Exchange'!$G$279)*100</f>
        <v>1.8296667392724897</v>
      </c>
      <c r="L172" s="169">
        <f t="shared" si="43"/>
        <v>13.591810063167065</v>
      </c>
      <c r="M172" s="168">
        <f>('Pivot Table for Data Exchange'!$G$282)*100</f>
        <v>13.591810063167065</v>
      </c>
      <c r="N172" s="168">
        <f>('Pivot Table for Data Exchange'!$G$285)*100</f>
        <v>0</v>
      </c>
      <c r="O172" s="176">
        <f>('Pivot Table for Data Exchange'!$G$288)*100</f>
        <v>0</v>
      </c>
      <c r="P172" s="168">
        <f>('Pivot Table for Data Exchange'!$G$291)*100</f>
        <v>0</v>
      </c>
      <c r="Q172" s="173">
        <f t="shared" si="34"/>
        <v>100</v>
      </c>
      <c r="R172" s="173">
        <f t="shared" si="35"/>
        <v>99.999999999999986</v>
      </c>
      <c r="S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row>
    <row r="173" spans="1:41" ht="11.25" customHeight="1">
      <c r="B173" s="168"/>
      <c r="C173" s="168"/>
      <c r="D173" s="169"/>
      <c r="E173" s="168"/>
      <c r="F173" s="168"/>
      <c r="G173" s="176"/>
      <c r="H173" s="168"/>
      <c r="I173" s="174"/>
      <c r="J173" s="168"/>
      <c r="K173" s="168"/>
      <c r="L173" s="169"/>
      <c r="M173" s="168"/>
      <c r="N173" s="168"/>
      <c r="O173" s="176"/>
      <c r="P173" s="168"/>
      <c r="Q173" s="173">
        <f t="shared" si="34"/>
        <v>0</v>
      </c>
      <c r="R173" s="173">
        <f t="shared" si="35"/>
        <v>0</v>
      </c>
      <c r="S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row>
    <row r="174" spans="1:41" ht="15.75" customHeight="1">
      <c r="A174" s="139" t="s">
        <v>626</v>
      </c>
      <c r="B174" s="168">
        <f>('Pivot Table for Data Exchange'!$G$294)*100</f>
        <v>0</v>
      </c>
      <c r="C174" s="168">
        <f>('Pivot Table for Data Exchange'!$G$297)*100</f>
        <v>0</v>
      </c>
      <c r="D174" s="169">
        <f t="shared" ref="D174:D176" si="44">SUM(E174:G174)</f>
        <v>0</v>
      </c>
      <c r="E174" s="168">
        <f>('Pivot Table for Data Exchange'!$G$300)*100</f>
        <v>0</v>
      </c>
      <c r="F174" s="168">
        <f>('Pivot Table for Data Exchange'!$G$303)*100</f>
        <v>0</v>
      </c>
      <c r="G174" s="176">
        <f>('Pivot Table for Data Exchange'!$G$306)*100</f>
        <v>0</v>
      </c>
      <c r="H174" s="168">
        <f>('Pivot Table for Data Exchange'!$G$309)*100</f>
        <v>0</v>
      </c>
      <c r="I174" s="174" t="s">
        <v>626</v>
      </c>
      <c r="J174" s="168">
        <f>('Pivot Table for Data Exchange'!$G$312)*100</f>
        <v>0</v>
      </c>
      <c r="K174" s="168">
        <f>('Pivot Table for Data Exchange'!$G$315)*100</f>
        <v>0</v>
      </c>
      <c r="L174" s="169">
        <f t="shared" ref="L174:L176" si="45">SUM(M174:O174)</f>
        <v>0</v>
      </c>
      <c r="M174" s="168">
        <f>('Pivot Table for Data Exchange'!$G$318)*100</f>
        <v>0</v>
      </c>
      <c r="N174" s="168">
        <f>('Pivot Table for Data Exchange'!$G$321)*100</f>
        <v>0</v>
      </c>
      <c r="O174" s="176">
        <f>('Pivot Table for Data Exchange'!$G$324)*100</f>
        <v>0</v>
      </c>
      <c r="P174" s="168">
        <f>('Pivot Table for Data Exchange'!$G$327)*100</f>
        <v>0</v>
      </c>
      <c r="Q174" s="173">
        <f t="shared" si="34"/>
        <v>0</v>
      </c>
      <c r="R174" s="173">
        <f t="shared" si="35"/>
        <v>0</v>
      </c>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row>
    <row r="175" spans="1:41" ht="15.75" customHeight="1">
      <c r="A175" s="139" t="s">
        <v>627</v>
      </c>
      <c r="B175" s="168">
        <f>('Pivot Table for Data Exchange'!$G$330)*100</f>
        <v>70.351329040779262</v>
      </c>
      <c r="C175" s="168">
        <f>('Pivot Table for Data Exchange'!$G$333)*100</f>
        <v>0.41307578008915308</v>
      </c>
      <c r="D175" s="169">
        <f t="shared" si="44"/>
        <v>29.235595179131582</v>
      </c>
      <c r="E175" s="168">
        <f>('Pivot Table for Data Exchange'!$G$336)*100</f>
        <v>26.282317979197622</v>
      </c>
      <c r="F175" s="168">
        <f>('Pivot Table for Data Exchange'!$G$339)*100</f>
        <v>5.8444774640911343E-2</v>
      </c>
      <c r="G175" s="176">
        <f>('Pivot Table for Data Exchange'!$G$342)*100</f>
        <v>2.8948324252930493</v>
      </c>
      <c r="H175" s="168">
        <f>('Pivot Table for Data Exchange'!$G$345)*100</f>
        <v>0</v>
      </c>
      <c r="I175" s="174" t="s">
        <v>627</v>
      </c>
      <c r="J175" s="168">
        <f>('Pivot Table for Data Exchange'!$G$348)*100</f>
        <v>34.362945998071361</v>
      </c>
      <c r="K175" s="168">
        <f>('Pivot Table for Data Exchange'!$G$351)*100</f>
        <v>3.2274590163934427</v>
      </c>
      <c r="L175" s="169">
        <f t="shared" si="45"/>
        <v>62.409594985535193</v>
      </c>
      <c r="M175" s="168">
        <f>('Pivot Table for Data Exchange'!$G$354)*100</f>
        <v>57.838114754098356</v>
      </c>
      <c r="N175" s="168">
        <f>('Pivot Table for Data Exchange'!$G$357)*100</f>
        <v>9.9445515911282562E-2</v>
      </c>
      <c r="O175" s="176">
        <f>('Pivot Table for Data Exchange'!$G$360)*100</f>
        <v>4.4720347155255542</v>
      </c>
      <c r="P175" s="168">
        <f>('Pivot Table for Data Exchange'!$G$363)*100</f>
        <v>0</v>
      </c>
      <c r="Q175" s="173">
        <f t="shared" si="34"/>
        <v>100</v>
      </c>
      <c r="R175" s="173">
        <f t="shared" si="35"/>
        <v>100</v>
      </c>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row>
    <row r="176" spans="1:41" ht="15.75" customHeight="1">
      <c r="A176" s="139" t="s">
        <v>628</v>
      </c>
      <c r="B176" s="168">
        <f>('Pivot Table for Data Exchange'!$G$366)*100</f>
        <v>0</v>
      </c>
      <c r="C176" s="168">
        <f>('Pivot Table for Data Exchange'!$G$369)*100</f>
        <v>0</v>
      </c>
      <c r="D176" s="169">
        <f t="shared" si="44"/>
        <v>0</v>
      </c>
      <c r="E176" s="168">
        <f>('Pivot Table for Data Exchange'!$G$372)*100</f>
        <v>0</v>
      </c>
      <c r="F176" s="168">
        <f>('Pivot Table for Data Exchange'!$G$375)*100</f>
        <v>0</v>
      </c>
      <c r="G176" s="176">
        <f>('Pivot Table for Data Exchange'!$G$378)*100</f>
        <v>0</v>
      </c>
      <c r="H176" s="168">
        <f>('Pivot Table for Data Exchange'!$G$381)*100</f>
        <v>0</v>
      </c>
      <c r="I176" s="174" t="s">
        <v>628</v>
      </c>
      <c r="J176" s="168">
        <f>('Pivot Table for Data Exchange'!$G$384)*100</f>
        <v>0</v>
      </c>
      <c r="K176" s="168">
        <f>('Pivot Table for Data Exchange'!$G$387)*100</f>
        <v>0</v>
      </c>
      <c r="L176" s="169">
        <f t="shared" si="45"/>
        <v>0</v>
      </c>
      <c r="M176" s="168">
        <f>('Pivot Table for Data Exchange'!$G$390)*100</f>
        <v>0</v>
      </c>
      <c r="N176" s="168">
        <f>('Pivot Table for Data Exchange'!$G$393)*100</f>
        <v>0</v>
      </c>
      <c r="O176" s="176">
        <f>('Pivot Table for Data Exchange'!$G$396)*100</f>
        <v>0</v>
      </c>
      <c r="P176" s="168">
        <f>('Pivot Table for Data Exchange'!$G$399)*100</f>
        <v>0</v>
      </c>
      <c r="Q176" s="173">
        <f t="shared" si="34"/>
        <v>0</v>
      </c>
      <c r="R176" s="173">
        <f t="shared" si="35"/>
        <v>0</v>
      </c>
      <c r="S176" s="174"/>
      <c r="T176" s="148"/>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row>
    <row r="177" spans="1:41" ht="15.75" customHeight="1">
      <c r="A177" s="139" t="s">
        <v>629</v>
      </c>
      <c r="B177" s="168">
        <f>('Pivot Table for Data Exchange'!$G$402)*100</f>
        <v>87.363480161420924</v>
      </c>
      <c r="C177" s="168">
        <f>('Pivot Table for Data Exchange'!$G$405)*100</f>
        <v>0.87096200815004521</v>
      </c>
      <c r="D177" s="169">
        <f>SUM(E177:G177)</f>
        <v>11.76555783042903</v>
      </c>
      <c r="E177" s="168">
        <f>('Pivot Table for Data Exchange'!$G$408)*100</f>
        <v>11.76555783042903</v>
      </c>
      <c r="F177" s="168">
        <f>('Pivot Table for Data Exchange'!$G$411)*100</f>
        <v>0</v>
      </c>
      <c r="G177" s="176">
        <f>('Pivot Table for Data Exchange'!$G$414)*100</f>
        <v>0</v>
      </c>
      <c r="H177" s="168">
        <f>('Pivot Table for Data Exchange'!$G$417)*100</f>
        <v>0</v>
      </c>
      <c r="I177" s="174" t="s">
        <v>629</v>
      </c>
      <c r="J177" s="168">
        <f>('Pivot Table for Data Exchange'!$G$420)*100</f>
        <v>64.655006726888331</v>
      </c>
      <c r="K177" s="168">
        <f>('Pivot Table for Data Exchange'!$G$423)*100</f>
        <v>2.5626241271061567E-2</v>
      </c>
      <c r="L177" s="169">
        <f>SUM(M177:O177)</f>
        <v>35.319367031840606</v>
      </c>
      <c r="M177" s="168">
        <f>('Pivot Table for Data Exchange'!$G$426)*100</f>
        <v>35.165609584214238</v>
      </c>
      <c r="N177" s="168">
        <f>('Pivot Table for Data Exchange'!$G$429)*100</f>
        <v>0.15375744762636939</v>
      </c>
      <c r="O177" s="176">
        <f>('Pivot Table for Data Exchange'!$G$432)*100</f>
        <v>0</v>
      </c>
      <c r="P177" s="168">
        <f>('Pivot Table for Data Exchange'!$G$435)*100</f>
        <v>0</v>
      </c>
      <c r="Q177" s="173">
        <f t="shared" si="34"/>
        <v>100</v>
      </c>
      <c r="R177" s="173">
        <f t="shared" si="35"/>
        <v>100</v>
      </c>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row>
    <row r="178" spans="1:41" ht="11.25" customHeight="1">
      <c r="B178" s="168"/>
      <c r="C178" s="168"/>
      <c r="D178" s="169"/>
      <c r="E178" s="168"/>
      <c r="F178" s="168"/>
      <c r="G178" s="176"/>
      <c r="H178" s="168"/>
      <c r="I178" s="174"/>
      <c r="J178" s="168"/>
      <c r="K178" s="168"/>
      <c r="L178" s="169"/>
      <c r="M178" s="168"/>
      <c r="N178" s="168"/>
      <c r="O178" s="176"/>
      <c r="P178" s="168"/>
      <c r="Q178" s="173">
        <f t="shared" si="34"/>
        <v>0</v>
      </c>
      <c r="R178" s="173">
        <f t="shared" si="35"/>
        <v>0</v>
      </c>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row>
    <row r="179" spans="1:41" ht="15.75" customHeight="1">
      <c r="A179" s="139" t="s">
        <v>630</v>
      </c>
      <c r="B179" s="168">
        <f>('Pivot Table for Data Exchange'!$G$438)*100</f>
        <v>0</v>
      </c>
      <c r="C179" s="168">
        <f>('Pivot Table for Data Exchange'!$G$441)*100</f>
        <v>0</v>
      </c>
      <c r="D179" s="169">
        <f>SUM(E179:G179)</f>
        <v>0</v>
      </c>
      <c r="E179" s="168">
        <f>('Pivot Table for Data Exchange'!$G$444)*100</f>
        <v>0</v>
      </c>
      <c r="F179" s="168">
        <f>('Pivot Table for Data Exchange'!$G$447)*100</f>
        <v>0</v>
      </c>
      <c r="G179" s="175">
        <f>('Pivot Table for Data Exchange'!$G$450)*100</f>
        <v>0</v>
      </c>
      <c r="H179" s="168">
        <f>('Pivot Table for Data Exchange'!$G$453)*100</f>
        <v>0</v>
      </c>
      <c r="I179" s="174" t="s">
        <v>630</v>
      </c>
      <c r="J179" s="203">
        <f>('Pivot Table for Data Exchange'!$G$456)*100</f>
        <v>0</v>
      </c>
      <c r="K179" s="168">
        <f>('Pivot Table for Data Exchange'!$G$459)*100</f>
        <v>0</v>
      </c>
      <c r="L179" s="169">
        <f>SUM(M179:O179)</f>
        <v>0</v>
      </c>
      <c r="M179" s="168">
        <f>('Pivot Table for Data Exchange'!$G$462)*100</f>
        <v>0</v>
      </c>
      <c r="N179" s="180">
        <f>('Pivot Table for Data Exchange'!$G$465)*100</f>
        <v>0</v>
      </c>
      <c r="O179" s="176">
        <f>('Pivot Table for Data Exchange'!$G$468)*100</f>
        <v>0</v>
      </c>
      <c r="P179" s="180">
        <f>('Pivot Table for Data Exchange'!$G$471)*100</f>
        <v>0</v>
      </c>
      <c r="Q179" s="173">
        <f t="shared" si="34"/>
        <v>0</v>
      </c>
      <c r="R179" s="173">
        <f t="shared" si="35"/>
        <v>0</v>
      </c>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row>
    <row r="180" spans="1:41" ht="15.75" customHeight="1">
      <c r="A180" s="139" t="s">
        <v>631</v>
      </c>
      <c r="B180" s="168">
        <f>('Pivot Table for Data Exchange'!$G$474)*100</f>
        <v>0</v>
      </c>
      <c r="C180" s="168">
        <f>('Pivot Table for Data Exchange'!$G$477)*100</f>
        <v>0</v>
      </c>
      <c r="D180" s="169">
        <f>SUM(E180:G180)</f>
        <v>0</v>
      </c>
      <c r="E180" s="168">
        <f>('Pivot Table for Data Exchange'!$G$480)*100</f>
        <v>0</v>
      </c>
      <c r="F180" s="168">
        <f>('Pivot Table for Data Exchange'!$G$483)*100</f>
        <v>0</v>
      </c>
      <c r="G180" s="176">
        <f>('Pivot Table for Data Exchange'!$G$486)*100</f>
        <v>0</v>
      </c>
      <c r="H180" s="168">
        <f>('Pivot Table for Data Exchange'!$G$489)*100</f>
        <v>0</v>
      </c>
      <c r="I180" s="174" t="s">
        <v>631</v>
      </c>
      <c r="J180" s="168">
        <f>('Pivot Table for Data Exchange'!$G$492)*100</f>
        <v>0</v>
      </c>
      <c r="K180" s="168">
        <f>('Pivot Table for Data Exchange'!$G$495)*100</f>
        <v>0</v>
      </c>
      <c r="L180" s="169">
        <f>SUM(M180:O180)</f>
        <v>0</v>
      </c>
      <c r="M180" s="168">
        <f>('Pivot Table for Data Exchange'!$G$498)*100</f>
        <v>0</v>
      </c>
      <c r="N180" s="168">
        <f>('Pivot Table for Data Exchange'!$G$501)*100</f>
        <v>0</v>
      </c>
      <c r="O180" s="176">
        <f>('Pivot Table for Data Exchange'!$G$504)*100</f>
        <v>0</v>
      </c>
      <c r="P180" s="168">
        <f>('Pivot Table for Data Exchange'!$G$507)*100</f>
        <v>0</v>
      </c>
      <c r="Q180" s="173">
        <f t="shared" si="34"/>
        <v>0</v>
      </c>
      <c r="R180" s="173">
        <f t="shared" si="35"/>
        <v>0</v>
      </c>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row>
    <row r="181" spans="1:41" ht="15.75" customHeight="1">
      <c r="A181" s="139" t="s">
        <v>632</v>
      </c>
      <c r="B181" s="168">
        <f>('Pivot Table for Data Exchange'!$G$510)*100</f>
        <v>94.237777864836715</v>
      </c>
      <c r="C181" s="168">
        <f>('Pivot Table for Data Exchange'!$G$513)*100</f>
        <v>0.49051150045535996</v>
      </c>
      <c r="D181" s="169">
        <f t="shared" ref="D181" si="46">SUM(E181:G181)</f>
        <v>5.2717106347079277</v>
      </c>
      <c r="E181" s="168">
        <f>('Pivot Table for Data Exchange'!$G$516)*100</f>
        <v>5.2684906467399495</v>
      </c>
      <c r="F181" s="180">
        <f>('Pivot Table for Data Exchange'!$G$519)*100</f>
        <v>3.2199879679782931E-3</v>
      </c>
      <c r="G181" s="176">
        <f>('Pivot Table for Data Exchange'!$G$522)*100</f>
        <v>0</v>
      </c>
      <c r="H181" s="168">
        <f>('Pivot Table for Data Exchange'!$G$525)*100</f>
        <v>0</v>
      </c>
      <c r="I181" s="174" t="s">
        <v>632</v>
      </c>
      <c r="J181" s="168">
        <f>('Pivot Table for Data Exchange'!$G$528)*100</f>
        <v>46.218826276132866</v>
      </c>
      <c r="K181" s="168">
        <f>('Pivot Table for Data Exchange'!$G$531)*100</f>
        <v>15.494004032685982</v>
      </c>
      <c r="L181" s="169">
        <f t="shared" ref="L181" si="47">SUM(M181:O181)</f>
        <v>38.287169691181155</v>
      </c>
      <c r="M181" s="168">
        <f>('Pivot Table for Data Exchange'!$G$534)*100</f>
        <v>37.714103788602358</v>
      </c>
      <c r="N181" s="168">
        <f>('Pivot Table for Data Exchange'!$G$537)*100</f>
        <v>0.57306590257879653</v>
      </c>
      <c r="O181" s="176">
        <f>('Pivot Table for Data Exchange'!$G$540)*100</f>
        <v>0</v>
      </c>
      <c r="P181" s="168">
        <f>('Pivot Table for Data Exchange'!$G$543)*100</f>
        <v>0</v>
      </c>
      <c r="Q181" s="173">
        <f t="shared" si="34"/>
        <v>100</v>
      </c>
      <c r="R181" s="173">
        <f t="shared" si="35"/>
        <v>100</v>
      </c>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row>
    <row r="182" spans="1:41" ht="15.75" customHeight="1">
      <c r="A182" s="145" t="s">
        <v>633</v>
      </c>
      <c r="B182" s="181">
        <f>('Pivot Table for Data Exchange'!$G$546)*100</f>
        <v>78.407291681262166</v>
      </c>
      <c r="C182" s="181">
        <f>('Pivot Table for Data Exchange'!$G$549)*100</f>
        <v>2.3963485546946153</v>
      </c>
      <c r="D182" s="182">
        <f>SUM(E182:G182)</f>
        <v>19.196359764043212</v>
      </c>
      <c r="E182" s="181">
        <f>('Pivot Table for Data Exchange'!$G$552)*100</f>
        <v>18.719261864394905</v>
      </c>
      <c r="F182" s="181">
        <f>('Pivot Table for Data Exchange'!$G$555)*100</f>
        <v>0.47499614678641983</v>
      </c>
      <c r="G182" s="183">
        <f>('Pivot Table for Data Exchange'!$G$558)*100</f>
        <v>2.1017528618868138E-3</v>
      </c>
      <c r="H182" s="181">
        <f>('Pivot Table for Data Exchange'!$G$561)*100</f>
        <v>0</v>
      </c>
      <c r="I182" s="184" t="s">
        <v>633</v>
      </c>
      <c r="J182" s="181">
        <f>('Pivot Table for Data Exchange'!$G$564)*100</f>
        <v>39.282775347568105</v>
      </c>
      <c r="K182" s="181">
        <f>('Pivot Table for Data Exchange'!$G$567)*100</f>
        <v>3.4302048594568841</v>
      </c>
      <c r="L182" s="182">
        <f>SUM(M182:O182)</f>
        <v>57.287019792975016</v>
      </c>
      <c r="M182" s="181">
        <f>('Pivot Table for Data Exchange'!$G$570)*100</f>
        <v>57.287019792975016</v>
      </c>
      <c r="N182" s="181">
        <f>('Pivot Table for Data Exchange'!$G$573)*100</f>
        <v>0</v>
      </c>
      <c r="O182" s="183">
        <f>('Pivot Table for Data Exchange'!$G$576)*100</f>
        <v>0</v>
      </c>
      <c r="P182" s="181">
        <f>('Pivot Table for Data Exchange'!$G$579)*100</f>
        <v>0</v>
      </c>
      <c r="Q182" s="173">
        <f t="shared" si="34"/>
        <v>99.999999999999986</v>
      </c>
      <c r="R182" s="173">
        <f t="shared" si="35"/>
        <v>100</v>
      </c>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row>
    <row r="183" spans="1:41" s="186" customFormat="1" ht="12.75" customHeight="1">
      <c r="A183" s="187" t="s">
        <v>658</v>
      </c>
      <c r="B183" s="188"/>
      <c r="C183" s="188"/>
      <c r="D183" s="189"/>
      <c r="E183" s="188"/>
      <c r="F183" s="189"/>
      <c r="G183" s="189"/>
      <c r="H183" s="188"/>
      <c r="I183" s="187" t="s">
        <v>658</v>
      </c>
      <c r="J183" s="188"/>
      <c r="K183" s="188"/>
      <c r="L183" s="189"/>
      <c r="M183" s="188"/>
      <c r="N183" s="189"/>
      <c r="O183" s="189"/>
      <c r="P183" s="188"/>
      <c r="Q183" s="173"/>
      <c r="R183" s="173"/>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row>
    <row r="184" spans="1:41" s="186" customFormat="1" ht="8.25" customHeight="1">
      <c r="A184" s="191"/>
      <c r="B184" s="200"/>
      <c r="C184" s="200"/>
      <c r="D184" s="141"/>
      <c r="E184" s="200"/>
      <c r="F184" s="200"/>
      <c r="G184" s="200"/>
      <c r="H184" s="200"/>
      <c r="I184" s="191"/>
      <c r="J184" s="200"/>
      <c r="K184" s="200"/>
      <c r="L184" s="141"/>
      <c r="M184" s="200"/>
      <c r="N184" s="200"/>
      <c r="O184" s="200"/>
      <c r="P184" s="200"/>
      <c r="Q184" s="173"/>
      <c r="R184" s="173"/>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row>
    <row r="185" spans="1:41" s="186" customFormat="1" ht="13.5" customHeight="1">
      <c r="A185" s="197"/>
      <c r="B185" s="198"/>
      <c r="H185" s="192" t="s">
        <v>923</v>
      </c>
      <c r="I185" s="197"/>
      <c r="P185" s="192" t="s">
        <v>923</v>
      </c>
      <c r="Q185" s="173"/>
      <c r="R185" s="173"/>
    </row>
    <row r="186" spans="1:41" ht="18">
      <c r="A186" s="134" t="s">
        <v>669</v>
      </c>
      <c r="B186" s="135"/>
      <c r="C186" s="135"/>
      <c r="D186" s="135"/>
      <c r="E186" s="135"/>
      <c r="F186" s="135"/>
      <c r="G186" s="135"/>
      <c r="H186" s="135"/>
      <c r="I186" s="134" t="s">
        <v>670</v>
      </c>
      <c r="J186" s="136"/>
      <c r="K186" s="136"/>
      <c r="L186" s="135"/>
      <c r="M186" s="136"/>
      <c r="N186" s="136"/>
      <c r="O186" s="136"/>
      <c r="P186" s="136"/>
      <c r="Q186" s="173"/>
      <c r="R186" s="173"/>
    </row>
    <row r="187" spans="1:41" ht="13">
      <c r="A187" s="140"/>
      <c r="B187" s="136"/>
      <c r="C187" s="136"/>
      <c r="D187" s="136"/>
      <c r="E187" s="136"/>
      <c r="F187" s="136"/>
      <c r="G187" s="136"/>
      <c r="H187" s="136"/>
      <c r="I187" s="140"/>
      <c r="J187" s="136"/>
      <c r="K187" s="136"/>
      <c r="L187" s="136"/>
      <c r="M187" s="136"/>
      <c r="N187" s="136"/>
      <c r="O187" s="136"/>
      <c r="P187" s="136"/>
      <c r="Q187" s="173"/>
      <c r="R187" s="173"/>
    </row>
    <row r="188" spans="1:41" ht="15.5">
      <c r="A188" s="142" t="s">
        <v>639</v>
      </c>
      <c r="B188" s="136"/>
      <c r="C188" s="136"/>
      <c r="D188" s="136"/>
      <c r="E188" s="136"/>
      <c r="F188" s="136"/>
      <c r="G188" s="136"/>
      <c r="H188" s="136"/>
      <c r="I188" s="142" t="s">
        <v>640</v>
      </c>
      <c r="J188" s="136"/>
      <c r="K188" s="136"/>
      <c r="L188" s="136"/>
      <c r="M188" s="136"/>
      <c r="N188" s="136"/>
      <c r="O188" s="136"/>
      <c r="P188" s="136"/>
      <c r="Q188" s="173"/>
      <c r="R188" s="173"/>
    </row>
    <row r="189" spans="1:41" ht="15.5">
      <c r="A189" s="142" t="s">
        <v>752</v>
      </c>
      <c r="B189" s="136"/>
      <c r="C189" s="136"/>
      <c r="D189" s="136"/>
      <c r="E189" s="136"/>
      <c r="F189" s="136"/>
      <c r="G189" s="136"/>
      <c r="H189" s="136"/>
      <c r="I189" s="142" t="s">
        <v>752</v>
      </c>
      <c r="J189" s="136"/>
      <c r="K189" s="136"/>
      <c r="L189" s="136"/>
      <c r="M189" s="136"/>
      <c r="N189" s="136"/>
      <c r="O189" s="136"/>
      <c r="P189" s="136"/>
      <c r="Q189" s="173"/>
      <c r="R189" s="173"/>
    </row>
    <row r="190" spans="1:41">
      <c r="A190" s="145"/>
      <c r="B190" s="146"/>
      <c r="C190" s="146"/>
      <c r="D190" s="146"/>
      <c r="E190" s="146"/>
      <c r="F190" s="146"/>
      <c r="G190" s="146"/>
      <c r="H190" s="146"/>
      <c r="I190" s="147"/>
      <c r="L190" s="148"/>
      <c r="P190" s="145"/>
      <c r="Q190" s="173"/>
      <c r="R190" s="173"/>
    </row>
    <row r="191" spans="1:41" s="155" customFormat="1">
      <c r="A191" s="150"/>
      <c r="B191" s="151" t="s">
        <v>641</v>
      </c>
      <c r="C191" s="151"/>
      <c r="D191" s="151"/>
      <c r="E191" s="151"/>
      <c r="F191" s="151"/>
      <c r="G191" s="151"/>
      <c r="H191" s="152"/>
      <c r="I191" s="150"/>
      <c r="J191" s="151" t="s">
        <v>641</v>
      </c>
      <c r="K191" s="151"/>
      <c r="L191" s="151"/>
      <c r="M191" s="151"/>
      <c r="N191" s="151"/>
      <c r="O191" s="151"/>
      <c r="P191" s="152"/>
      <c r="Q191" s="173"/>
      <c r="R191" s="173"/>
    </row>
    <row r="192" spans="1:41" s="155" customFormat="1">
      <c r="A192" s="150"/>
      <c r="B192" s="151" t="s">
        <v>642</v>
      </c>
      <c r="C192" s="151"/>
      <c r="D192" s="487" t="s">
        <v>643</v>
      </c>
      <c r="E192" s="485"/>
      <c r="F192" s="485"/>
      <c r="G192" s="485"/>
      <c r="H192" s="158" t="s">
        <v>533</v>
      </c>
      <c r="I192" s="150"/>
      <c r="J192" s="151" t="s">
        <v>642</v>
      </c>
      <c r="K192" s="151"/>
      <c r="L192" s="487" t="s">
        <v>643</v>
      </c>
      <c r="M192" s="485"/>
      <c r="N192" s="485"/>
      <c r="O192" s="485"/>
      <c r="P192" s="158" t="s">
        <v>533</v>
      </c>
      <c r="Q192" s="173"/>
      <c r="R192" s="173"/>
    </row>
    <row r="193" spans="1:41" s="155" customFormat="1" ht="40.5" customHeight="1">
      <c r="A193" s="150"/>
      <c r="B193" s="159" t="s">
        <v>644</v>
      </c>
      <c r="C193" s="160" t="s">
        <v>645</v>
      </c>
      <c r="D193" s="161" t="s">
        <v>646</v>
      </c>
      <c r="E193" s="162" t="s">
        <v>8</v>
      </c>
      <c r="F193" s="159" t="s">
        <v>647</v>
      </c>
      <c r="G193" s="163" t="s">
        <v>656</v>
      </c>
      <c r="H193" s="164" t="s">
        <v>649</v>
      </c>
      <c r="I193" s="150"/>
      <c r="J193" s="159" t="s">
        <v>644</v>
      </c>
      <c r="K193" s="160" t="s">
        <v>645</v>
      </c>
      <c r="L193" s="161" t="s">
        <v>646</v>
      </c>
      <c r="M193" s="162" t="s">
        <v>8</v>
      </c>
      <c r="N193" s="159" t="s">
        <v>647</v>
      </c>
      <c r="O193" s="163" t="s">
        <v>656</v>
      </c>
      <c r="P193" s="164" t="s">
        <v>649</v>
      </c>
      <c r="Q193" s="173"/>
      <c r="R193" s="173"/>
      <c r="T193" s="193"/>
    </row>
    <row r="194" spans="1:41" ht="15.75" customHeight="1">
      <c r="A194" s="194" t="s">
        <v>618</v>
      </c>
      <c r="B194" s="168">
        <f>('Pivot Table for Data Exchange'!$H$6)*100</f>
        <v>15.288721077184716</v>
      </c>
      <c r="C194" s="168">
        <f>('Pivot Table for Data Exchange'!$H$9)*100</f>
        <v>2.6789196948184668</v>
      </c>
      <c r="D194" s="169">
        <f>SUM(E194:G194)</f>
        <v>82.032359227996821</v>
      </c>
      <c r="E194" s="168">
        <f>('Pivot Table for Data Exchange'!$H$12)*100</f>
        <v>82.032359227996821</v>
      </c>
      <c r="F194" s="168">
        <f>('Pivot Table for Data Exchange'!$H$15)*100</f>
        <v>0</v>
      </c>
      <c r="G194" s="172">
        <f>('Pivot Table for Data Exchange'!$H$18)*100</f>
        <v>0</v>
      </c>
      <c r="H194" s="168">
        <f>('Pivot Table for Data Exchange'!$H$21)*100</f>
        <v>0</v>
      </c>
      <c r="I194" s="171" t="s">
        <v>618</v>
      </c>
      <c r="J194" s="168">
        <f>('Pivot Table for Data Exchange'!$H$24)*100</f>
        <v>0.6211180124223602</v>
      </c>
      <c r="K194" s="168">
        <f>('Pivot Table for Data Exchange'!$H$27)*100</f>
        <v>0</v>
      </c>
      <c r="L194" s="169">
        <f>SUM(M194:O194)</f>
        <v>99.378881987577643</v>
      </c>
      <c r="M194" s="168">
        <f>('Pivot Table for Data Exchange'!$H$30)*100</f>
        <v>99.378881987577643</v>
      </c>
      <c r="N194" s="168">
        <f>('Pivot Table for Data Exchange'!$H$33)*100</f>
        <v>0</v>
      </c>
      <c r="O194" s="172">
        <f>('Pivot Table for Data Exchange'!$H$36)*100</f>
        <v>0</v>
      </c>
      <c r="P194" s="168">
        <f>('Pivot Table for Data Exchange'!$H$39)*100</f>
        <v>0</v>
      </c>
      <c r="Q194" s="173">
        <f t="shared" si="34"/>
        <v>100</v>
      </c>
      <c r="R194" s="173">
        <f t="shared" si="35"/>
        <v>100</v>
      </c>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row>
    <row r="195" spans="1:41" ht="15.75" customHeight="1">
      <c r="A195" s="139" t="s">
        <v>619</v>
      </c>
      <c r="B195" s="168">
        <f>('Pivot Table for Data Exchange'!$H$42)*100</f>
        <v>67.936266135991403</v>
      </c>
      <c r="C195" s="168">
        <f>('Pivot Table for Data Exchange'!$H$45)*100</f>
        <v>7.0654949544758106</v>
      </c>
      <c r="D195" s="169">
        <f t="shared" ref="D195:D197" si="48">SUM(E195:G195)</f>
        <v>24.998238909532784</v>
      </c>
      <c r="E195" s="168">
        <f>('Pivot Table for Data Exchange'!$H$48)*100</f>
        <v>24.992955638131132</v>
      </c>
      <c r="F195" s="168">
        <f>('Pivot Table for Data Exchange'!$H$51)*100</f>
        <v>5.2832714016519036E-3</v>
      </c>
      <c r="G195" s="176">
        <f>('Pivot Table for Data Exchange'!$H$54)*100</f>
        <v>0</v>
      </c>
      <c r="H195" s="168">
        <f>('Pivot Table for Data Exchange'!$H$57)*100</f>
        <v>0</v>
      </c>
      <c r="I195" s="174" t="s">
        <v>619</v>
      </c>
      <c r="J195" s="168">
        <f>('Pivot Table for Data Exchange'!$H$60)*100</f>
        <v>60.272684532204977</v>
      </c>
      <c r="K195" s="168">
        <f>('Pivot Table for Data Exchange'!$H$63)*100</f>
        <v>0</v>
      </c>
      <c r="L195" s="169">
        <f t="shared" ref="L195:L197" si="49">SUM(M195:O195)</f>
        <v>39.727315467795016</v>
      </c>
      <c r="M195" s="168">
        <f>('Pivot Table for Data Exchange'!$H$66)*100</f>
        <v>39.727315467795016</v>
      </c>
      <c r="N195" s="168">
        <f>('Pivot Table for Data Exchange'!$H$69)*100</f>
        <v>0</v>
      </c>
      <c r="O195" s="176">
        <f>('Pivot Table for Data Exchange'!$H$72)*100</f>
        <v>0</v>
      </c>
      <c r="P195" s="168">
        <f>('Pivot Table for Data Exchange'!$H$75)*100</f>
        <v>0</v>
      </c>
      <c r="Q195" s="173">
        <f t="shared" si="34"/>
        <v>100</v>
      </c>
      <c r="R195" s="173">
        <f t="shared" si="35"/>
        <v>100</v>
      </c>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row>
    <row r="196" spans="1:41" ht="15.75" customHeight="1">
      <c r="A196" s="139" t="s">
        <v>620</v>
      </c>
      <c r="B196" s="168">
        <f>('Pivot Table for Data Exchange'!$H$78)*100</f>
        <v>0</v>
      </c>
      <c r="C196" s="168">
        <f>('Pivot Table for Data Exchange'!$H$81)*100</f>
        <v>0</v>
      </c>
      <c r="D196" s="169">
        <f t="shared" si="48"/>
        <v>0</v>
      </c>
      <c r="E196" s="168">
        <f>('Pivot Table for Data Exchange'!$H$84)*100</f>
        <v>0</v>
      </c>
      <c r="F196" s="168">
        <f>('Pivot Table for Data Exchange'!$H$87)*100</f>
        <v>0</v>
      </c>
      <c r="G196" s="176">
        <f>('Pivot Table for Data Exchange'!$H$90)*100</f>
        <v>0</v>
      </c>
      <c r="H196" s="168">
        <f>('Pivot Table for Data Exchange'!$H$93)*100</f>
        <v>0</v>
      </c>
      <c r="I196" s="174" t="s">
        <v>620</v>
      </c>
      <c r="J196" s="168">
        <f>('Pivot Table for Data Exchange'!$H$96)*100</f>
        <v>0</v>
      </c>
      <c r="K196" s="168">
        <f>('Pivot Table for Data Exchange'!$H$99)*100</f>
        <v>0</v>
      </c>
      <c r="L196" s="169">
        <f t="shared" si="49"/>
        <v>0</v>
      </c>
      <c r="M196" s="168">
        <f>('Pivot Table for Data Exchange'!$H$102)*100</f>
        <v>0</v>
      </c>
      <c r="N196" s="168">
        <f>('Pivot Table for Data Exchange'!$H$105)*100</f>
        <v>0</v>
      </c>
      <c r="O196" s="176">
        <f>('Pivot Table for Data Exchange'!$H$108)*100</f>
        <v>0</v>
      </c>
      <c r="P196" s="168">
        <f>('Pivot Table for Data Exchange'!$H$111)*100</f>
        <v>0</v>
      </c>
      <c r="Q196" s="173">
        <f t="shared" si="34"/>
        <v>0</v>
      </c>
      <c r="R196" s="173">
        <f t="shared" si="35"/>
        <v>0</v>
      </c>
      <c r="S196" s="174"/>
      <c r="T196" s="148"/>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row>
    <row r="197" spans="1:41" ht="15.75" customHeight="1">
      <c r="A197" s="139" t="s">
        <v>657</v>
      </c>
      <c r="B197" s="168">
        <f>('Pivot Table for Data Exchange'!$H$114)*100</f>
        <v>0</v>
      </c>
      <c r="C197" s="168">
        <f>('Pivot Table for Data Exchange'!$H$117)*100</f>
        <v>0</v>
      </c>
      <c r="D197" s="169">
        <f t="shared" si="48"/>
        <v>0</v>
      </c>
      <c r="E197" s="168">
        <f>('Pivot Table for Data Exchange'!$H$120)*100</f>
        <v>0</v>
      </c>
      <c r="F197" s="168">
        <f>('Pivot Table for Data Exchange'!$H$123)*100</f>
        <v>0</v>
      </c>
      <c r="G197" s="176">
        <f>('Pivot Table for Data Exchange'!$H$126)*100</f>
        <v>0</v>
      </c>
      <c r="H197" s="168">
        <f>('Pivot Table for Data Exchange'!$H$129)*100</f>
        <v>0</v>
      </c>
      <c r="I197" s="174" t="s">
        <v>621</v>
      </c>
      <c r="J197" s="168">
        <f>('Pivot Table for Data Exchange'!$H$132)*100</f>
        <v>0</v>
      </c>
      <c r="K197" s="168">
        <f>('Pivot Table for Data Exchange'!$H$135)*100</f>
        <v>0</v>
      </c>
      <c r="L197" s="169">
        <f t="shared" si="49"/>
        <v>0</v>
      </c>
      <c r="M197" s="168">
        <f>('Pivot Table for Data Exchange'!$H$138)*100</f>
        <v>0</v>
      </c>
      <c r="N197" s="168">
        <f>('Pivot Table for Data Exchange'!$H$141)*100</f>
        <v>0</v>
      </c>
      <c r="O197" s="176">
        <f>('Pivot Table for Data Exchange'!$H$144)*100</f>
        <v>0</v>
      </c>
      <c r="P197" s="168">
        <f>('Pivot Table for Data Exchange'!$H$147)*100</f>
        <v>0</v>
      </c>
      <c r="Q197" s="173">
        <f t="shared" si="34"/>
        <v>0</v>
      </c>
      <c r="R197" s="173">
        <f t="shared" si="35"/>
        <v>0</v>
      </c>
      <c r="S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row>
    <row r="198" spans="1:41" ht="15.75" customHeight="1">
      <c r="B198" s="168"/>
      <c r="C198" s="168"/>
      <c r="D198" s="169"/>
      <c r="E198" s="168"/>
      <c r="F198" s="168"/>
      <c r="G198" s="176"/>
      <c r="H198" s="168"/>
      <c r="I198" s="174"/>
      <c r="J198" s="168"/>
      <c r="K198" s="168"/>
      <c r="L198" s="169"/>
      <c r="M198" s="168"/>
      <c r="N198" s="168"/>
      <c r="O198" s="176"/>
      <c r="P198" s="168"/>
      <c r="Q198" s="173">
        <f t="shared" si="34"/>
        <v>0</v>
      </c>
      <c r="R198" s="173">
        <f t="shared" si="35"/>
        <v>0</v>
      </c>
      <c r="S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row>
    <row r="199" spans="1:41" ht="15.75" customHeight="1">
      <c r="A199" s="139" t="s">
        <v>622</v>
      </c>
      <c r="B199" s="168">
        <f>('Pivot Table for Data Exchange'!$H$150)*100</f>
        <v>86.104526226551698</v>
      </c>
      <c r="C199" s="168">
        <f>('Pivot Table for Data Exchange'!$H$153)*100</f>
        <v>2.443675848082755</v>
      </c>
      <c r="D199" s="169">
        <f t="shared" ref="D199:D202" si="50">SUM(E199:G199)</f>
        <v>11.45179792536555</v>
      </c>
      <c r="E199" s="168">
        <f>('Pivot Table for Data Exchange'!$H$156)*100</f>
        <v>11.45179792536555</v>
      </c>
      <c r="F199" s="168">
        <f>('Pivot Table for Data Exchange'!$H$159)*100</f>
        <v>0</v>
      </c>
      <c r="G199" s="176">
        <f>('Pivot Table for Data Exchange'!$H$162)*100</f>
        <v>0</v>
      </c>
      <c r="H199" s="168">
        <f>('Pivot Table for Data Exchange'!$H$165)*100</f>
        <v>0</v>
      </c>
      <c r="I199" s="174" t="s">
        <v>622</v>
      </c>
      <c r="J199" s="168">
        <f>('Pivot Table for Data Exchange'!$H$168)*100</f>
        <v>0</v>
      </c>
      <c r="K199" s="168">
        <f>('Pivot Table for Data Exchange'!$H$171)*100</f>
        <v>0</v>
      </c>
      <c r="L199" s="169">
        <f t="shared" ref="L199:L202" si="51">SUM(M199:O199)</f>
        <v>0</v>
      </c>
      <c r="M199" s="168">
        <f>('Pivot Table for Data Exchange'!$H$174)*100</f>
        <v>0</v>
      </c>
      <c r="N199" s="168">
        <f>('Pivot Table for Data Exchange'!$H$177)*100</f>
        <v>0</v>
      </c>
      <c r="O199" s="176">
        <f>('Pivot Table for Data Exchange'!$H$180)*100</f>
        <v>0</v>
      </c>
      <c r="P199" s="168">
        <f>('Pivot Table for Data Exchange'!$H$183)*100</f>
        <v>0</v>
      </c>
      <c r="Q199" s="173">
        <f t="shared" si="34"/>
        <v>100</v>
      </c>
      <c r="R199" s="173">
        <f t="shared" si="35"/>
        <v>0</v>
      </c>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row>
    <row r="200" spans="1:41" ht="15.75" customHeight="1">
      <c r="A200" s="139" t="s">
        <v>623</v>
      </c>
      <c r="B200" s="168">
        <f>('Pivot Table for Data Exchange'!$H$186)*100</f>
        <v>0</v>
      </c>
      <c r="C200" s="168">
        <f>('Pivot Table for Data Exchange'!$H$189)*100</f>
        <v>0</v>
      </c>
      <c r="D200" s="169">
        <f t="shared" si="50"/>
        <v>0</v>
      </c>
      <c r="E200" s="168">
        <f>('Pivot Table for Data Exchange'!$H$192)*100</f>
        <v>0</v>
      </c>
      <c r="F200" s="168">
        <f>('Pivot Table for Data Exchange'!$H$195)*100</f>
        <v>0</v>
      </c>
      <c r="G200" s="176">
        <f>('Pivot Table for Data Exchange'!$H$198)*100</f>
        <v>0</v>
      </c>
      <c r="H200" s="168">
        <f>('Pivot Table for Data Exchange'!$H$201)*100</f>
        <v>0</v>
      </c>
      <c r="I200" s="174" t="s">
        <v>623</v>
      </c>
      <c r="J200" s="168">
        <f>('Pivot Table for Data Exchange'!$H$204)*100</f>
        <v>0</v>
      </c>
      <c r="K200" s="168">
        <f>('Pivot Table for Data Exchange'!$H$207)*100</f>
        <v>0</v>
      </c>
      <c r="L200" s="169">
        <f t="shared" si="51"/>
        <v>0</v>
      </c>
      <c r="M200" s="168">
        <f>('Pivot Table for Data Exchange'!$H$210)*100</f>
        <v>0</v>
      </c>
      <c r="N200" s="168">
        <f>('Pivot Table for Data Exchange'!$H$213)*100</f>
        <v>0</v>
      </c>
      <c r="O200" s="176">
        <f>('Pivot Table for Data Exchange'!$H$216)*100</f>
        <v>0</v>
      </c>
      <c r="P200" s="168">
        <f>('Pivot Table for Data Exchange'!$H$219)*100</f>
        <v>0</v>
      </c>
      <c r="Q200" s="173">
        <f t="shared" si="34"/>
        <v>0</v>
      </c>
      <c r="R200" s="173">
        <f t="shared" si="35"/>
        <v>0</v>
      </c>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row>
    <row r="201" spans="1:41" ht="15.75" customHeight="1">
      <c r="A201" s="139" t="s">
        <v>624</v>
      </c>
      <c r="B201" s="168">
        <f>('Pivot Table for Data Exchange'!$H$222)*100</f>
        <v>58.268275372604727</v>
      </c>
      <c r="C201" s="168">
        <f>('Pivot Table for Data Exchange'!$H$225)*100</f>
        <v>0</v>
      </c>
      <c r="D201" s="169">
        <f t="shared" si="50"/>
        <v>41.73172462739528</v>
      </c>
      <c r="E201" s="168">
        <f>('Pivot Table for Data Exchange'!$H$228)*100</f>
        <v>41.73172462739528</v>
      </c>
      <c r="F201" s="168">
        <f>('Pivot Table for Data Exchange'!$H$231)*100</f>
        <v>0</v>
      </c>
      <c r="G201" s="176">
        <f>('Pivot Table for Data Exchange'!$H$234)*100</f>
        <v>0</v>
      </c>
      <c r="H201" s="168">
        <f>('Pivot Table for Data Exchange'!$H$237)*100</f>
        <v>0</v>
      </c>
      <c r="I201" s="174" t="s">
        <v>624</v>
      </c>
      <c r="J201" s="168">
        <f>('Pivot Table for Data Exchange'!$H$240)*100</f>
        <v>0</v>
      </c>
      <c r="K201" s="168">
        <f>('Pivot Table for Data Exchange'!$H$243)*100</f>
        <v>0</v>
      </c>
      <c r="L201" s="169">
        <f t="shared" si="51"/>
        <v>0</v>
      </c>
      <c r="M201" s="168">
        <f>('Pivot Table for Data Exchange'!$H$246)*100</f>
        <v>0</v>
      </c>
      <c r="N201" s="168">
        <f>('Pivot Table for Data Exchange'!$H$249)*100</f>
        <v>0</v>
      </c>
      <c r="O201" s="176">
        <f>('Pivot Table for Data Exchange'!$H$252)*100</f>
        <v>0</v>
      </c>
      <c r="P201" s="168">
        <f>('Pivot Table for Data Exchange'!$H$255)*100</f>
        <v>0</v>
      </c>
      <c r="Q201" s="173">
        <f t="shared" si="34"/>
        <v>100</v>
      </c>
      <c r="R201" s="173">
        <f t="shared" si="35"/>
        <v>0</v>
      </c>
      <c r="S201" s="174"/>
      <c r="T201" s="148"/>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row>
    <row r="202" spans="1:41" ht="15.75" customHeight="1">
      <c r="A202" s="139" t="s">
        <v>625</v>
      </c>
      <c r="B202" s="168">
        <f>('Pivot Table for Data Exchange'!$H$258)*100</f>
        <v>99.504929367077793</v>
      </c>
      <c r="C202" s="168">
        <f>('Pivot Table for Data Exchange'!$H$261)*100</f>
        <v>0</v>
      </c>
      <c r="D202" s="169">
        <f t="shared" si="50"/>
        <v>0.49507063292219711</v>
      </c>
      <c r="E202" s="168">
        <f>('Pivot Table for Data Exchange'!$H$264)*100</f>
        <v>0.49507063292219711</v>
      </c>
      <c r="F202" s="168">
        <f>('Pivot Table for Data Exchange'!$H$267)*100</f>
        <v>0</v>
      </c>
      <c r="G202" s="176">
        <f>('Pivot Table for Data Exchange'!$H$270)*100</f>
        <v>0</v>
      </c>
      <c r="H202" s="168">
        <f>('Pivot Table for Data Exchange'!$H$273)*100</f>
        <v>0</v>
      </c>
      <c r="I202" s="174" t="s">
        <v>625</v>
      </c>
      <c r="J202" s="168">
        <f>('Pivot Table for Data Exchange'!$H$276)*100</f>
        <v>100</v>
      </c>
      <c r="K202" s="168">
        <f>('Pivot Table for Data Exchange'!$H$279)*100</f>
        <v>0</v>
      </c>
      <c r="L202" s="169">
        <f t="shared" si="51"/>
        <v>0</v>
      </c>
      <c r="M202" s="168">
        <f>('Pivot Table for Data Exchange'!$H$282)*100</f>
        <v>0</v>
      </c>
      <c r="N202" s="168">
        <f>('Pivot Table for Data Exchange'!$H$285)*100</f>
        <v>0</v>
      </c>
      <c r="O202" s="176">
        <f>('Pivot Table for Data Exchange'!$H$288)*100</f>
        <v>0</v>
      </c>
      <c r="P202" s="168">
        <f>('Pivot Table for Data Exchange'!$H$291)*100</f>
        <v>0</v>
      </c>
      <c r="Q202" s="173">
        <f t="shared" si="34"/>
        <v>99.999999999999986</v>
      </c>
      <c r="R202" s="173">
        <f t="shared" si="35"/>
        <v>100</v>
      </c>
      <c r="S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row>
    <row r="203" spans="1:41" ht="11.25" customHeight="1">
      <c r="B203" s="168"/>
      <c r="C203" s="168"/>
      <c r="D203" s="169"/>
      <c r="E203" s="168"/>
      <c r="F203" s="168"/>
      <c r="G203" s="176"/>
      <c r="H203" s="168"/>
      <c r="I203" s="174"/>
      <c r="J203" s="168"/>
      <c r="K203" s="168"/>
      <c r="L203" s="169"/>
      <c r="M203" s="168"/>
      <c r="N203" s="168"/>
      <c r="O203" s="176"/>
      <c r="P203" s="168"/>
      <c r="Q203" s="173">
        <f t="shared" ref="Q203:Q266" si="52">SUM(B203,C203,D203,H203)</f>
        <v>0</v>
      </c>
      <c r="R203" s="173">
        <f t="shared" ref="R203:R216" si="53">SUM(J203,K203,L203,P203)</f>
        <v>0</v>
      </c>
      <c r="S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row>
    <row r="204" spans="1:41" ht="15.75" customHeight="1">
      <c r="A204" s="139" t="s">
        <v>626</v>
      </c>
      <c r="B204" s="168">
        <f>('Pivot Table for Data Exchange'!$H$294)*100</f>
        <v>0</v>
      </c>
      <c r="C204" s="168">
        <f>('Pivot Table for Data Exchange'!$H$297)*100</f>
        <v>0</v>
      </c>
      <c r="D204" s="169">
        <f t="shared" ref="D204:D206" si="54">SUM(E204:G204)</f>
        <v>0</v>
      </c>
      <c r="E204" s="168">
        <f>('Pivot Table for Data Exchange'!$H$300)*100</f>
        <v>0</v>
      </c>
      <c r="F204" s="168">
        <f>('Pivot Table for Data Exchange'!$H$303)*100</f>
        <v>0</v>
      </c>
      <c r="G204" s="176">
        <f>('Pivot Table for Data Exchange'!$H$306)*100</f>
        <v>0</v>
      </c>
      <c r="H204" s="168">
        <f>('Pivot Table for Data Exchange'!$H$309)*100</f>
        <v>0</v>
      </c>
      <c r="I204" s="174" t="s">
        <v>626</v>
      </c>
      <c r="J204" s="168">
        <f>('Pivot Table for Data Exchange'!$H$312)*100</f>
        <v>0</v>
      </c>
      <c r="K204" s="168">
        <f>('Pivot Table for Data Exchange'!$H$315)*100</f>
        <v>0</v>
      </c>
      <c r="L204" s="169">
        <f t="shared" ref="L204:L206" si="55">SUM(M204:O204)</f>
        <v>0</v>
      </c>
      <c r="M204" s="168">
        <f>('Pivot Table for Data Exchange'!$H$318)*100</f>
        <v>0</v>
      </c>
      <c r="N204" s="168">
        <f>('Pivot Table for Data Exchange'!$H$321)*100</f>
        <v>0</v>
      </c>
      <c r="O204" s="176">
        <f>('Pivot Table for Data Exchange'!$H$324)*100</f>
        <v>0</v>
      </c>
      <c r="P204" s="168">
        <f>('Pivot Table for Data Exchange'!$H$327)*100</f>
        <v>0</v>
      </c>
      <c r="Q204" s="173">
        <f t="shared" si="52"/>
        <v>0</v>
      </c>
      <c r="R204" s="173">
        <f t="shared" si="53"/>
        <v>0</v>
      </c>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row>
    <row r="205" spans="1:41" ht="15.75" customHeight="1">
      <c r="A205" s="139" t="s">
        <v>627</v>
      </c>
      <c r="B205" s="168">
        <f>('Pivot Table for Data Exchange'!$H$330)*100</f>
        <v>90.528778339697936</v>
      </c>
      <c r="C205" s="168">
        <f>('Pivot Table for Data Exchange'!$H$333)*100</f>
        <v>0.65022190112498712</v>
      </c>
      <c r="D205" s="169">
        <f t="shared" si="54"/>
        <v>8.8209997591770737</v>
      </c>
      <c r="E205" s="168">
        <f>('Pivot Table for Data Exchange'!$H$336)*100</f>
        <v>7.1909725805896718</v>
      </c>
      <c r="F205" s="168">
        <f>('Pivot Table for Data Exchange'!$H$339)*100</f>
        <v>1.6300271785874016</v>
      </c>
      <c r="G205" s="176">
        <f>('Pivot Table for Data Exchange'!$H$342)*100</f>
        <v>0</v>
      </c>
      <c r="H205" s="168">
        <f>('Pivot Table for Data Exchange'!$H$345)*100</f>
        <v>0</v>
      </c>
      <c r="I205" s="174" t="s">
        <v>627</v>
      </c>
      <c r="J205" s="168">
        <f>('Pivot Table for Data Exchange'!$H$348)*100</f>
        <v>42.470506592644</v>
      </c>
      <c r="K205" s="168">
        <f>('Pivot Table for Data Exchange'!$H$351)*100</f>
        <v>0</v>
      </c>
      <c r="L205" s="169">
        <f t="shared" si="55"/>
        <v>57.529493407356</v>
      </c>
      <c r="M205" s="168">
        <f>('Pivot Table for Data Exchange'!$H$354)*100</f>
        <v>57.529493407356</v>
      </c>
      <c r="N205" s="168">
        <f>('Pivot Table for Data Exchange'!$H$357)*100</f>
        <v>0</v>
      </c>
      <c r="O205" s="176">
        <f>('Pivot Table for Data Exchange'!$H$360)*100</f>
        <v>0</v>
      </c>
      <c r="P205" s="168">
        <f>('Pivot Table for Data Exchange'!$H$363)*100</f>
        <v>0</v>
      </c>
      <c r="Q205" s="173">
        <f t="shared" si="52"/>
        <v>100</v>
      </c>
      <c r="R205" s="173">
        <f t="shared" si="53"/>
        <v>100</v>
      </c>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row>
    <row r="206" spans="1:41" ht="15.75" customHeight="1">
      <c r="A206" s="139" t="s">
        <v>628</v>
      </c>
      <c r="B206" s="168">
        <f>('Pivot Table for Data Exchange'!$H$366)*100</f>
        <v>0</v>
      </c>
      <c r="C206" s="168">
        <f>('Pivot Table for Data Exchange'!$H$369)*100</f>
        <v>0</v>
      </c>
      <c r="D206" s="169">
        <f t="shared" si="54"/>
        <v>0</v>
      </c>
      <c r="E206" s="168">
        <f>('Pivot Table for Data Exchange'!$H$372)*100</f>
        <v>0</v>
      </c>
      <c r="F206" s="168">
        <f>('Pivot Table for Data Exchange'!$H$375)*100</f>
        <v>0</v>
      </c>
      <c r="G206" s="176">
        <f>('Pivot Table for Data Exchange'!$H$378)*100</f>
        <v>0</v>
      </c>
      <c r="H206" s="168">
        <f>('Pivot Table for Data Exchange'!$H$381)*100</f>
        <v>0</v>
      </c>
      <c r="I206" s="174" t="s">
        <v>628</v>
      </c>
      <c r="J206" s="168">
        <f>('Pivot Table for Data Exchange'!$H$384)*100</f>
        <v>0</v>
      </c>
      <c r="K206" s="168">
        <f>('Pivot Table for Data Exchange'!$H$387)*100</f>
        <v>0</v>
      </c>
      <c r="L206" s="169">
        <f t="shared" si="55"/>
        <v>0</v>
      </c>
      <c r="M206" s="168">
        <f>('Pivot Table for Data Exchange'!$H$390)*100</f>
        <v>0</v>
      </c>
      <c r="N206" s="168">
        <f>('Pivot Table for Data Exchange'!$H$393)*100</f>
        <v>0</v>
      </c>
      <c r="O206" s="176">
        <f>('Pivot Table for Data Exchange'!$H$396)*100</f>
        <v>0</v>
      </c>
      <c r="P206" s="168">
        <f>('Pivot Table for Data Exchange'!$H$399)*100</f>
        <v>0</v>
      </c>
      <c r="Q206" s="173">
        <f t="shared" si="52"/>
        <v>0</v>
      </c>
      <c r="R206" s="173">
        <f t="shared" si="53"/>
        <v>0</v>
      </c>
      <c r="S206" s="174"/>
      <c r="T206" s="148"/>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row>
    <row r="207" spans="1:41" ht="15.75" customHeight="1">
      <c r="A207" s="139" t="s">
        <v>629</v>
      </c>
      <c r="B207" s="168">
        <f>('Pivot Table for Data Exchange'!$H$402)*100</f>
        <v>73.858395795463721</v>
      </c>
      <c r="C207" s="168">
        <f>('Pivot Table for Data Exchange'!$H$405)*100</f>
        <v>4.4546841145856719</v>
      </c>
      <c r="D207" s="169">
        <f>SUM(E207:G207)</f>
        <v>21.686920089950597</v>
      </c>
      <c r="E207" s="168">
        <f>('Pivot Table for Data Exchange'!$H$408)*100</f>
        <v>21.686920089950597</v>
      </c>
      <c r="F207" s="168">
        <f>('Pivot Table for Data Exchange'!$H$411)*100</f>
        <v>0</v>
      </c>
      <c r="G207" s="176">
        <f>('Pivot Table for Data Exchange'!$H$414)*100</f>
        <v>0</v>
      </c>
      <c r="H207" s="168">
        <f>('Pivot Table for Data Exchange'!$H$417)*100</f>
        <v>0</v>
      </c>
      <c r="I207" s="174" t="s">
        <v>629</v>
      </c>
      <c r="J207" s="168">
        <f>('Pivot Table for Data Exchange'!$H$420)*100</f>
        <v>34.822581870678519</v>
      </c>
      <c r="K207" s="168">
        <f>('Pivot Table for Data Exchange'!$H$423)*100</f>
        <v>7.8565458551781777</v>
      </c>
      <c r="L207" s="169">
        <f>SUM(M207:O207)</f>
        <v>57.320872274143298</v>
      </c>
      <c r="M207" s="168">
        <f>('Pivot Table for Data Exchange'!$H$426)*100</f>
        <v>57.320872274143298</v>
      </c>
      <c r="N207" s="168">
        <f>('Pivot Table for Data Exchange'!$H$429)*100</f>
        <v>0</v>
      </c>
      <c r="O207" s="176">
        <f>('Pivot Table for Data Exchange'!$H$432)*100</f>
        <v>0</v>
      </c>
      <c r="P207" s="168">
        <f>('Pivot Table for Data Exchange'!$H$435)*100</f>
        <v>0</v>
      </c>
      <c r="Q207" s="173">
        <f t="shared" si="52"/>
        <v>100</v>
      </c>
      <c r="R207" s="173">
        <f t="shared" si="53"/>
        <v>100</v>
      </c>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row>
    <row r="208" spans="1:41" ht="11.25" customHeight="1">
      <c r="B208" s="168"/>
      <c r="C208" s="168"/>
      <c r="D208" s="169"/>
      <c r="E208" s="168"/>
      <c r="F208" s="168"/>
      <c r="G208" s="176"/>
      <c r="H208" s="168"/>
      <c r="I208" s="174"/>
      <c r="J208" s="168"/>
      <c r="K208" s="168"/>
      <c r="L208" s="169"/>
      <c r="M208" s="168"/>
      <c r="N208" s="168"/>
      <c r="O208" s="176"/>
      <c r="P208" s="168"/>
      <c r="Q208" s="173">
        <f t="shared" si="52"/>
        <v>0</v>
      </c>
      <c r="R208" s="173">
        <f t="shared" si="53"/>
        <v>0</v>
      </c>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row>
    <row r="209" spans="1:41" ht="15.75" customHeight="1">
      <c r="A209" s="139" t="s">
        <v>630</v>
      </c>
      <c r="B209" s="168">
        <f>('Pivot Table for Data Exchange'!$H$438)*100</f>
        <v>0</v>
      </c>
      <c r="C209" s="168">
        <f>('Pivot Table for Data Exchange'!$H$441)*100</f>
        <v>0</v>
      </c>
      <c r="D209" s="169">
        <f>SUM(E209:G209)</f>
        <v>0</v>
      </c>
      <c r="E209" s="168">
        <f>('Pivot Table for Data Exchange'!$H$444)*100</f>
        <v>0</v>
      </c>
      <c r="F209" s="168">
        <f>('Pivot Table for Data Exchange'!$H$447)*100</f>
        <v>0</v>
      </c>
      <c r="G209" s="176">
        <f>('Pivot Table for Data Exchange'!$H$450)*100</f>
        <v>0</v>
      </c>
      <c r="H209" s="168">
        <f>('Pivot Table for Data Exchange'!$H$453)*100</f>
        <v>0</v>
      </c>
      <c r="I209" s="174" t="s">
        <v>630</v>
      </c>
      <c r="J209" s="168">
        <f>('Pivot Table for Data Exchange'!$H$456)*100</f>
        <v>0</v>
      </c>
      <c r="K209" s="168">
        <f>('Pivot Table for Data Exchange'!$H$459)*100</f>
        <v>0</v>
      </c>
      <c r="L209" s="169">
        <f>SUM(M209:O209)</f>
        <v>0</v>
      </c>
      <c r="M209" s="168">
        <f>('Pivot Table for Data Exchange'!$H$462)*100</f>
        <v>0</v>
      </c>
      <c r="N209" s="168">
        <f>('Pivot Table for Data Exchange'!$H$465)*100</f>
        <v>0</v>
      </c>
      <c r="O209" s="176">
        <f>('Pivot Table for Data Exchange'!$H$468)*100</f>
        <v>0</v>
      </c>
      <c r="P209" s="168">
        <f>('Pivot Table for Data Exchange'!$H$471)*100</f>
        <v>0</v>
      </c>
      <c r="Q209" s="173">
        <f t="shared" si="52"/>
        <v>0</v>
      </c>
      <c r="R209" s="173">
        <f t="shared" si="53"/>
        <v>0</v>
      </c>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row>
    <row r="210" spans="1:41" ht="15.75" customHeight="1">
      <c r="A210" s="139" t="s">
        <v>631</v>
      </c>
      <c r="B210" s="168">
        <f>('Pivot Table for Data Exchange'!$H$474)*100</f>
        <v>0</v>
      </c>
      <c r="C210" s="168">
        <f>('Pivot Table for Data Exchange'!$H$477)*100</f>
        <v>0</v>
      </c>
      <c r="D210" s="169">
        <f>SUM(E210:G210)</f>
        <v>0</v>
      </c>
      <c r="E210" s="168">
        <f>('Pivot Table for Data Exchange'!$H$480)*100</f>
        <v>0</v>
      </c>
      <c r="F210" s="168">
        <f>('Pivot Table for Data Exchange'!$H$483)*100</f>
        <v>0</v>
      </c>
      <c r="G210" s="175">
        <f>('Pivot Table for Data Exchange'!$H$486)*100</f>
        <v>0</v>
      </c>
      <c r="H210" s="168">
        <f>('Pivot Table for Data Exchange'!$H$489)*100</f>
        <v>0</v>
      </c>
      <c r="I210" s="174" t="s">
        <v>631</v>
      </c>
      <c r="J210" s="168">
        <f>('Pivot Table for Data Exchange'!$H$492)*100</f>
        <v>0</v>
      </c>
      <c r="K210" s="168">
        <f>('Pivot Table for Data Exchange'!$H$495)*100</f>
        <v>0</v>
      </c>
      <c r="L210" s="169">
        <f>SUM(M210:O210)</f>
        <v>0</v>
      </c>
      <c r="M210" s="168">
        <f>('Pivot Table for Data Exchange'!$H$498)*100</f>
        <v>0</v>
      </c>
      <c r="N210" s="168">
        <f>('Pivot Table for Data Exchange'!$H$501)*100</f>
        <v>0</v>
      </c>
      <c r="O210" s="176">
        <f>('Pivot Table for Data Exchange'!$H$504)*100</f>
        <v>0</v>
      </c>
      <c r="P210" s="168">
        <f>('Pivot Table for Data Exchange'!$H$507)*100</f>
        <v>0</v>
      </c>
      <c r="Q210" s="173">
        <f t="shared" si="52"/>
        <v>0</v>
      </c>
      <c r="R210" s="173">
        <f t="shared" si="53"/>
        <v>0</v>
      </c>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row>
    <row r="211" spans="1:41" ht="15.75" customHeight="1">
      <c r="A211" s="139" t="s">
        <v>632</v>
      </c>
      <c r="B211" s="168">
        <f>('Pivot Table for Data Exchange'!$H$510)*100</f>
        <v>74.984716157205241</v>
      </c>
      <c r="C211" s="168">
        <f>('Pivot Table for Data Exchange'!$H$513)*100</f>
        <v>0</v>
      </c>
      <c r="D211" s="169">
        <f t="shared" ref="D211" si="56">SUM(E211:G211)</f>
        <v>25.015283842794762</v>
      </c>
      <c r="E211" s="168">
        <f>('Pivot Table for Data Exchange'!$H$516)*100</f>
        <v>25.015283842794762</v>
      </c>
      <c r="F211" s="168">
        <f>('Pivot Table for Data Exchange'!$H$519)*100</f>
        <v>0</v>
      </c>
      <c r="G211" s="176">
        <f>('Pivot Table for Data Exchange'!$H$522)*100</f>
        <v>0</v>
      </c>
      <c r="H211" s="168">
        <f>('Pivot Table for Data Exchange'!$H$525)*100</f>
        <v>0</v>
      </c>
      <c r="I211" s="174" t="s">
        <v>632</v>
      </c>
      <c r="J211" s="168">
        <f>('Pivot Table for Data Exchange'!$H$528)*100</f>
        <v>0</v>
      </c>
      <c r="K211" s="168">
        <f>('Pivot Table for Data Exchange'!$H$531)*100</f>
        <v>0</v>
      </c>
      <c r="L211" s="169">
        <f t="shared" ref="L211" si="57">SUM(M211:O211)</f>
        <v>0</v>
      </c>
      <c r="M211" s="168">
        <f>('Pivot Table for Data Exchange'!$H$534)*100</f>
        <v>0</v>
      </c>
      <c r="N211" s="168">
        <f>('Pivot Table for Data Exchange'!$H$537)*100</f>
        <v>0</v>
      </c>
      <c r="O211" s="176">
        <f>('Pivot Table for Data Exchange'!$H$540)*100</f>
        <v>0</v>
      </c>
      <c r="P211" s="168">
        <f>('Pivot Table for Data Exchange'!$H$543)*100</f>
        <v>0</v>
      </c>
      <c r="Q211" s="173">
        <f t="shared" si="52"/>
        <v>100</v>
      </c>
      <c r="R211" s="173">
        <f t="shared" si="53"/>
        <v>0</v>
      </c>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row>
    <row r="212" spans="1:41" ht="15.75" customHeight="1">
      <c r="A212" s="145" t="s">
        <v>633</v>
      </c>
      <c r="B212" s="181">
        <f>('Pivot Table for Data Exchange'!$H$546)*100</f>
        <v>54.963820712782599</v>
      </c>
      <c r="C212" s="181">
        <f>('Pivot Table for Data Exchange'!$H$549)*100</f>
        <v>15.844614744044202</v>
      </c>
      <c r="D212" s="182">
        <f>SUM(E212:G212)</f>
        <v>29.1915645431732</v>
      </c>
      <c r="E212" s="181">
        <f>('Pivot Table for Data Exchange'!$H$552)*100</f>
        <v>29.12123155869147</v>
      </c>
      <c r="F212" s="181">
        <f>('Pivot Table for Data Exchange'!$H$555)*100</f>
        <v>6.9207656730022618E-2</v>
      </c>
      <c r="G212" s="204">
        <f>('Pivot Table for Data Exchange'!$H$558)*100</f>
        <v>1.1253277517076848E-3</v>
      </c>
      <c r="H212" s="181">
        <f>('Pivot Table for Data Exchange'!$H$561)*100</f>
        <v>0</v>
      </c>
      <c r="I212" s="184" t="s">
        <v>633</v>
      </c>
      <c r="J212" s="181">
        <f>('Pivot Table for Data Exchange'!$H$564)*100</f>
        <v>73.9561802397685</v>
      </c>
      <c r="K212" s="181">
        <f>('Pivot Table for Data Exchange'!$H$567)*100</f>
        <v>0.12401818933443572</v>
      </c>
      <c r="L212" s="182">
        <f>SUM(M212:O212)</f>
        <v>25.919801570897068</v>
      </c>
      <c r="M212" s="181">
        <f>('Pivot Table for Data Exchange'!$H$570)*100</f>
        <v>25.919801570897068</v>
      </c>
      <c r="N212" s="181">
        <f>('Pivot Table for Data Exchange'!$H$573)*100</f>
        <v>0</v>
      </c>
      <c r="O212" s="183">
        <f>('Pivot Table for Data Exchange'!$H$576)*100</f>
        <v>0</v>
      </c>
      <c r="P212" s="181">
        <f>('Pivot Table for Data Exchange'!$H$579)*100</f>
        <v>0</v>
      </c>
      <c r="Q212" s="173">
        <f t="shared" si="52"/>
        <v>100</v>
      </c>
      <c r="R212" s="173">
        <f t="shared" si="53"/>
        <v>100</v>
      </c>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row>
    <row r="213" spans="1:41" s="186" customFormat="1" ht="12" customHeight="1">
      <c r="A213" s="187" t="s">
        <v>658</v>
      </c>
      <c r="B213" s="188"/>
      <c r="C213" s="188"/>
      <c r="D213" s="189"/>
      <c r="E213" s="188"/>
      <c r="F213" s="189"/>
      <c r="G213" s="189"/>
      <c r="H213" s="188"/>
      <c r="I213" s="187" t="s">
        <v>658</v>
      </c>
      <c r="J213" s="188"/>
      <c r="K213" s="188"/>
      <c r="L213" s="189"/>
      <c r="M213" s="188"/>
      <c r="N213" s="189"/>
      <c r="O213" s="189"/>
      <c r="P213" s="188"/>
      <c r="Q213" s="173">
        <f t="shared" si="52"/>
        <v>0</v>
      </c>
      <c r="R213" s="173">
        <f t="shared" si="53"/>
        <v>0</v>
      </c>
      <c r="S213" s="190"/>
      <c r="T213" s="190"/>
      <c r="U213" s="190"/>
      <c r="V213" s="190"/>
      <c r="W213" s="190"/>
      <c r="X213" s="190"/>
      <c r="Y213" s="190"/>
      <c r="Z213" s="190"/>
      <c r="AA213" s="190"/>
      <c r="AB213" s="190"/>
      <c r="AC213" s="190"/>
      <c r="AD213" s="190"/>
      <c r="AE213" s="190"/>
      <c r="AF213" s="190"/>
      <c r="AG213" s="190"/>
      <c r="AH213" s="190"/>
      <c r="AI213" s="190"/>
      <c r="AJ213" s="190"/>
      <c r="AK213" s="190"/>
      <c r="AL213" s="190"/>
      <c r="AM213" s="190"/>
      <c r="AN213" s="190"/>
      <c r="AO213" s="190"/>
    </row>
    <row r="214" spans="1:41" s="186" customFormat="1" ht="22.5" customHeight="1">
      <c r="A214" s="492" t="s">
        <v>664</v>
      </c>
      <c r="B214" s="505"/>
      <c r="C214" s="505"/>
      <c r="D214" s="505"/>
      <c r="E214" s="505"/>
      <c r="F214" s="505"/>
      <c r="G214" s="505"/>
      <c r="H214" s="505"/>
      <c r="I214" s="492"/>
      <c r="J214" s="505"/>
      <c r="K214" s="505"/>
      <c r="L214" s="505"/>
      <c r="M214" s="505"/>
      <c r="N214" s="505"/>
      <c r="O214" s="505"/>
      <c r="P214" s="505"/>
      <c r="Q214" s="173">
        <f t="shared" si="52"/>
        <v>0</v>
      </c>
      <c r="R214" s="173">
        <f t="shared" si="53"/>
        <v>0</v>
      </c>
    </row>
    <row r="215" spans="1:41" s="186" customFormat="1" ht="10.5" customHeight="1">
      <c r="A215" s="191"/>
      <c r="B215" s="200"/>
      <c r="C215" s="200"/>
      <c r="D215" s="141"/>
      <c r="E215" s="200"/>
      <c r="F215" s="200"/>
      <c r="G215" s="200"/>
      <c r="H215" s="200"/>
      <c r="I215" s="191"/>
      <c r="J215" s="200"/>
      <c r="K215" s="200"/>
      <c r="L215" s="141"/>
      <c r="M215" s="200"/>
      <c r="N215" s="200"/>
      <c r="O215" s="200"/>
      <c r="P215" s="200"/>
      <c r="Q215" s="173"/>
      <c r="R215" s="173"/>
    </row>
    <row r="216" spans="1:41" s="186" customFormat="1">
      <c r="H216" s="192" t="s">
        <v>923</v>
      </c>
      <c r="P216" s="192" t="s">
        <v>923</v>
      </c>
      <c r="Q216" s="173">
        <f t="shared" si="52"/>
        <v>0</v>
      </c>
      <c r="R216" s="173">
        <f t="shared" si="53"/>
        <v>0</v>
      </c>
    </row>
    <row r="217" spans="1:41" ht="18">
      <c r="A217" s="134" t="s">
        <v>671</v>
      </c>
      <c r="B217" s="135"/>
      <c r="C217" s="135"/>
      <c r="D217" s="135"/>
      <c r="E217" s="135"/>
      <c r="F217" s="135"/>
      <c r="G217" s="135"/>
      <c r="H217" s="135"/>
      <c r="I217" s="139"/>
      <c r="Q217" s="173">
        <f t="shared" si="52"/>
        <v>0</v>
      </c>
    </row>
    <row r="218" spans="1:41" ht="13">
      <c r="A218" s="140"/>
      <c r="B218" s="136"/>
      <c r="C218" s="136"/>
      <c r="D218" s="136"/>
      <c r="E218" s="136"/>
      <c r="F218" s="136"/>
      <c r="G218" s="136"/>
      <c r="H218" s="136"/>
      <c r="I218" s="139"/>
      <c r="Q218" s="173">
        <f t="shared" si="52"/>
        <v>0</v>
      </c>
    </row>
    <row r="219" spans="1:41" ht="15.5">
      <c r="A219" s="142" t="s">
        <v>639</v>
      </c>
      <c r="B219" s="136"/>
      <c r="C219" s="136"/>
      <c r="D219" s="136"/>
      <c r="E219" s="136"/>
      <c r="F219" s="136"/>
      <c r="G219" s="136"/>
      <c r="H219" s="136"/>
      <c r="L219" s="136"/>
      <c r="Q219" s="173">
        <f t="shared" si="52"/>
        <v>0</v>
      </c>
    </row>
    <row r="220" spans="1:41" ht="15.5">
      <c r="A220" s="142" t="s">
        <v>753</v>
      </c>
      <c r="B220" s="136"/>
      <c r="C220" s="136"/>
      <c r="D220" s="136"/>
      <c r="E220" s="136"/>
      <c r="F220" s="136"/>
      <c r="G220" s="136"/>
      <c r="H220" s="136"/>
      <c r="Q220" s="173">
        <f t="shared" si="52"/>
        <v>0</v>
      </c>
    </row>
    <row r="221" spans="1:41">
      <c r="A221" s="145"/>
      <c r="B221" s="146"/>
      <c r="C221" s="146"/>
      <c r="D221" s="146"/>
      <c r="E221" s="146"/>
      <c r="F221" s="146"/>
      <c r="G221" s="146"/>
      <c r="H221" s="146"/>
      <c r="Q221" s="173">
        <f t="shared" si="52"/>
        <v>0</v>
      </c>
    </row>
    <row r="222" spans="1:41">
      <c r="A222" s="150"/>
      <c r="B222" s="151" t="s">
        <v>641</v>
      </c>
      <c r="C222" s="151"/>
      <c r="D222" s="151"/>
      <c r="E222" s="151"/>
      <c r="F222" s="151"/>
      <c r="G222" s="151"/>
      <c r="H222" s="152"/>
      <c r="Q222" s="173">
        <f t="shared" si="52"/>
        <v>0</v>
      </c>
    </row>
    <row r="223" spans="1:41">
      <c r="A223" s="150"/>
      <c r="B223" s="151" t="s">
        <v>642</v>
      </c>
      <c r="C223" s="151"/>
      <c r="D223" s="487" t="s">
        <v>643</v>
      </c>
      <c r="E223" s="485"/>
      <c r="F223" s="485"/>
      <c r="G223" s="485"/>
      <c r="H223" s="158" t="s">
        <v>533</v>
      </c>
      <c r="Q223" s="173">
        <f t="shared" si="52"/>
        <v>0</v>
      </c>
    </row>
    <row r="224" spans="1:41" ht="34.5">
      <c r="A224" s="150"/>
      <c r="B224" s="159" t="s">
        <v>644</v>
      </c>
      <c r="C224" s="160" t="s">
        <v>645</v>
      </c>
      <c r="D224" s="161" t="s">
        <v>646</v>
      </c>
      <c r="E224" s="162" t="s">
        <v>8</v>
      </c>
      <c r="F224" s="159" t="s">
        <v>647</v>
      </c>
      <c r="G224" s="163" t="s">
        <v>656</v>
      </c>
      <c r="H224" s="164" t="s">
        <v>649</v>
      </c>
      <c r="I224" s="193"/>
      <c r="J224" s="155"/>
      <c r="K224" s="155"/>
      <c r="L224" s="155"/>
      <c r="M224" s="155"/>
      <c r="N224" s="155"/>
      <c r="O224" s="155"/>
      <c r="Q224" s="173">
        <f t="shared" si="52"/>
        <v>0</v>
      </c>
    </row>
    <row r="225" spans="1:41" ht="15.75" customHeight="1">
      <c r="A225" s="194" t="s">
        <v>618</v>
      </c>
      <c r="B225" s="168">
        <f>('Pivot Table for Data Exchange'!$O$6)*100</f>
        <v>59.482230456126615</v>
      </c>
      <c r="C225" s="168">
        <f>('Pivot Table for Data Exchange'!$O$9)*100</f>
        <v>9.5775315030362105</v>
      </c>
      <c r="D225" s="169">
        <f>SUM(E225:G225)</f>
        <v>30.940238040837169</v>
      </c>
      <c r="E225" s="168">
        <f>('Pivot Table for Data Exchange'!$O$12)*100</f>
        <v>30.133445328220386</v>
      </c>
      <c r="F225" s="168">
        <f>('Pivot Table for Data Exchange'!$O$15)*100</f>
        <v>0.27370341359699857</v>
      </c>
      <c r="G225" s="172">
        <f>('Pivot Table for Data Exchange'!$O$18)*100</f>
        <v>0.53308929901978619</v>
      </c>
      <c r="H225" s="195">
        <f>('Pivot Table for Data Exchange'!$O$21)*100</f>
        <v>0</v>
      </c>
      <c r="I225" s="206"/>
      <c r="J225" s="206"/>
      <c r="K225" s="206"/>
      <c r="L225" s="206"/>
      <c r="M225" s="206"/>
      <c r="N225" s="206"/>
      <c r="O225" s="206"/>
      <c r="P225" s="207"/>
      <c r="Q225" s="173">
        <f t="shared" si="52"/>
        <v>100</v>
      </c>
      <c r="R225" s="173"/>
      <c r="Z225" s="174"/>
      <c r="AA225" s="174"/>
      <c r="AB225" s="174"/>
      <c r="AC225" s="174"/>
      <c r="AD225" s="174"/>
      <c r="AE225" s="174"/>
      <c r="AF225" s="174"/>
      <c r="AG225" s="174"/>
      <c r="AH225" s="174"/>
      <c r="AI225" s="174"/>
      <c r="AJ225" s="174"/>
      <c r="AK225" s="174"/>
      <c r="AL225" s="174"/>
      <c r="AM225" s="174"/>
      <c r="AN225" s="174"/>
      <c r="AO225" s="174"/>
    </row>
    <row r="226" spans="1:41" ht="15.75" customHeight="1">
      <c r="A226" s="139" t="s">
        <v>619</v>
      </c>
      <c r="B226" s="168">
        <f>('Pivot Table for Data Exchange'!$O$42)*100</f>
        <v>59.020993634799737</v>
      </c>
      <c r="C226" s="168">
        <f>('Pivot Table for Data Exchange'!$O$45)*100</f>
        <v>10.157821203474199</v>
      </c>
      <c r="D226" s="169">
        <f t="shared" ref="D226:D228" si="58">SUM(E226:G226)</f>
        <v>30.821185161726071</v>
      </c>
      <c r="E226" s="168">
        <f>('Pivot Table for Data Exchange'!$O$48)*100</f>
        <v>29.888757110894954</v>
      </c>
      <c r="F226" s="168">
        <f>('Pivot Table for Data Exchange'!$O$51)*100</f>
        <v>0.93242805083111702</v>
      </c>
      <c r="G226" s="179">
        <f>('Pivot Table for Data Exchange'!$O$54)*100</f>
        <v>0</v>
      </c>
      <c r="H226" s="177">
        <f>('Pivot Table for Data Exchange'!$O$57)*100</f>
        <v>0</v>
      </c>
      <c r="I226" s="206"/>
      <c r="J226" s="206"/>
      <c r="K226" s="206"/>
      <c r="L226" s="206"/>
      <c r="M226" s="206"/>
      <c r="N226" s="206"/>
      <c r="O226" s="206"/>
      <c r="P226" s="207"/>
      <c r="Q226" s="173">
        <f t="shared" si="52"/>
        <v>100</v>
      </c>
      <c r="R226" s="173"/>
      <c r="Z226" s="174"/>
      <c r="AA226" s="174"/>
      <c r="AB226" s="174"/>
      <c r="AC226" s="174"/>
      <c r="AD226" s="174"/>
      <c r="AE226" s="174"/>
      <c r="AF226" s="174"/>
      <c r="AG226" s="174"/>
      <c r="AH226" s="174"/>
      <c r="AI226" s="174"/>
      <c r="AJ226" s="174"/>
      <c r="AK226" s="174"/>
      <c r="AL226" s="174"/>
      <c r="AM226" s="174"/>
      <c r="AN226" s="174"/>
      <c r="AO226" s="174"/>
    </row>
    <row r="227" spans="1:41" ht="15.75" customHeight="1">
      <c r="A227" s="139" t="s">
        <v>620</v>
      </c>
      <c r="B227" s="168">
        <f>('Pivot Table for Data Exchange'!$O$78)*100</f>
        <v>78.871152136173095</v>
      </c>
      <c r="C227" s="168">
        <f>('Pivot Table for Data Exchange'!$O$81)*100</f>
        <v>0</v>
      </c>
      <c r="D227" s="169">
        <f t="shared" si="58"/>
        <v>21.128847863826905</v>
      </c>
      <c r="E227" s="168">
        <f>('Pivot Table for Data Exchange'!$O$84)*100</f>
        <v>20.61034616820703</v>
      </c>
      <c r="F227" s="168">
        <f>('Pivot Table for Data Exchange'!$O$87)*100</f>
        <v>0.33296508293332611</v>
      </c>
      <c r="G227" s="176">
        <f>('Pivot Table for Data Exchange'!$O$90)*100</f>
        <v>0.18553661268654706</v>
      </c>
      <c r="H227" s="168">
        <f>('Pivot Table for Data Exchange'!$O$93)*100</f>
        <v>0</v>
      </c>
      <c r="I227" s="206"/>
      <c r="J227" s="206"/>
      <c r="K227" s="206"/>
      <c r="L227" s="206"/>
      <c r="M227" s="206"/>
      <c r="N227" s="206"/>
      <c r="O227" s="206"/>
      <c r="P227" s="207"/>
      <c r="Q227" s="173">
        <f t="shared" si="52"/>
        <v>100</v>
      </c>
      <c r="R227" s="173"/>
      <c r="Z227" s="174"/>
      <c r="AA227" s="174"/>
      <c r="AB227" s="174"/>
      <c r="AC227" s="174"/>
      <c r="AD227" s="174"/>
      <c r="AE227" s="174"/>
      <c r="AF227" s="174"/>
      <c r="AG227" s="174"/>
      <c r="AH227" s="174"/>
      <c r="AI227" s="174"/>
      <c r="AJ227" s="174"/>
      <c r="AK227" s="174"/>
      <c r="AL227" s="174"/>
      <c r="AM227" s="174"/>
      <c r="AN227" s="174"/>
      <c r="AO227" s="174"/>
    </row>
    <row r="228" spans="1:41" ht="15.75" customHeight="1">
      <c r="A228" s="139" t="s">
        <v>657</v>
      </c>
      <c r="B228" s="168">
        <f>('Pivot Table for Data Exchange'!$O$114)*100</f>
        <v>66.502768976443036</v>
      </c>
      <c r="C228" s="168">
        <f>('Pivot Table for Data Exchange'!$O$117)*100</f>
        <v>3.4558368921339024</v>
      </c>
      <c r="D228" s="169">
        <f t="shared" si="58"/>
        <v>30.004198925471826</v>
      </c>
      <c r="E228" s="168">
        <f>('Pivot Table for Data Exchange'!$O$120)*100</f>
        <v>29.568381319741011</v>
      </c>
      <c r="F228" s="168">
        <f>('Pivot Table for Data Exchange'!$O$123)*100</f>
        <v>1.0073012811682051E-2</v>
      </c>
      <c r="G228" s="176">
        <f>('Pivot Table for Data Exchange'!$O$126)*100</f>
        <v>0.42574459291913486</v>
      </c>
      <c r="H228" s="180">
        <f>('Pivot Table for Data Exchange'!$O$129)*100</f>
        <v>3.7195205951232949E-2</v>
      </c>
      <c r="I228" s="206"/>
      <c r="J228" s="206"/>
      <c r="K228" s="206"/>
      <c r="L228" s="206"/>
      <c r="M228" s="206"/>
      <c r="N228" s="206"/>
      <c r="O228" s="206"/>
      <c r="P228" s="207"/>
      <c r="Q228" s="173">
        <f t="shared" si="52"/>
        <v>100</v>
      </c>
      <c r="R228" s="173"/>
      <c r="Z228" s="174"/>
      <c r="AA228" s="174"/>
      <c r="AB228" s="174"/>
      <c r="AC228" s="174"/>
      <c r="AD228" s="174"/>
      <c r="AE228" s="174"/>
      <c r="AF228" s="174"/>
      <c r="AG228" s="174"/>
      <c r="AH228" s="174"/>
      <c r="AI228" s="174"/>
      <c r="AJ228" s="174"/>
      <c r="AK228" s="174"/>
      <c r="AL228" s="174"/>
      <c r="AM228" s="174"/>
      <c r="AN228" s="174"/>
      <c r="AO228" s="174"/>
    </row>
    <row r="229" spans="1:41" ht="15.75" customHeight="1">
      <c r="B229" s="168"/>
      <c r="C229" s="168"/>
      <c r="D229" s="169"/>
      <c r="E229" s="168"/>
      <c r="F229" s="168"/>
      <c r="G229" s="176"/>
      <c r="H229" s="168"/>
      <c r="I229" s="206"/>
      <c r="J229" s="206"/>
      <c r="K229" s="206"/>
      <c r="L229" s="206"/>
      <c r="M229" s="206"/>
      <c r="N229" s="206"/>
      <c r="O229" s="206"/>
      <c r="P229" s="207"/>
      <c r="Q229" s="173">
        <f t="shared" si="52"/>
        <v>0</v>
      </c>
      <c r="R229" s="173"/>
      <c r="Z229" s="174"/>
      <c r="AA229" s="174"/>
      <c r="AB229" s="174"/>
      <c r="AC229" s="174"/>
      <c r="AD229" s="174"/>
      <c r="AE229" s="174"/>
      <c r="AF229" s="174"/>
      <c r="AG229" s="174"/>
      <c r="AH229" s="174"/>
      <c r="AI229" s="174"/>
      <c r="AJ229" s="174"/>
      <c r="AK229" s="174"/>
      <c r="AL229" s="174"/>
      <c r="AM229" s="174"/>
      <c r="AN229" s="174"/>
      <c r="AO229" s="174"/>
    </row>
    <row r="230" spans="1:41" ht="15.75" customHeight="1">
      <c r="A230" s="139" t="s">
        <v>622</v>
      </c>
      <c r="B230" s="168">
        <f>('Pivot Table for Data Exchange'!$O$150)*100</f>
        <v>52.471761675143668</v>
      </c>
      <c r="C230" s="168">
        <f>('Pivot Table for Data Exchange'!$O$153)*100</f>
        <v>18.325516876940355</v>
      </c>
      <c r="D230" s="169">
        <f t="shared" ref="D230:D233" si="59">SUM(E230:G230)</f>
        <v>29.20272144791598</v>
      </c>
      <c r="E230" s="168">
        <f>('Pivot Table for Data Exchange'!$O$156)*100</f>
        <v>29.20272144791598</v>
      </c>
      <c r="F230" s="168">
        <f>('Pivot Table for Data Exchange'!$O$159)*100</f>
        <v>0</v>
      </c>
      <c r="G230" s="176">
        <f>('Pivot Table for Data Exchange'!$O$162)*100</f>
        <v>0</v>
      </c>
      <c r="H230" s="168">
        <f>('Pivot Table for Data Exchange'!$O$165)*100</f>
        <v>0</v>
      </c>
      <c r="I230" s="206"/>
      <c r="J230" s="206"/>
      <c r="K230" s="206"/>
      <c r="L230" s="206"/>
      <c r="M230" s="206"/>
      <c r="N230" s="206"/>
      <c r="O230" s="206"/>
      <c r="P230" s="207"/>
      <c r="Q230" s="173">
        <f t="shared" si="52"/>
        <v>100</v>
      </c>
      <c r="R230" s="173"/>
      <c r="Z230" s="174"/>
      <c r="AA230" s="174"/>
      <c r="AB230" s="174"/>
      <c r="AC230" s="174"/>
      <c r="AD230" s="174"/>
      <c r="AE230" s="174"/>
      <c r="AF230" s="174"/>
      <c r="AG230" s="174"/>
      <c r="AH230" s="174"/>
      <c r="AI230" s="174"/>
      <c r="AJ230" s="174"/>
      <c r="AK230" s="174"/>
      <c r="AL230" s="174"/>
      <c r="AM230" s="174"/>
      <c r="AN230" s="174"/>
      <c r="AO230" s="174"/>
    </row>
    <row r="231" spans="1:41" ht="15.75" customHeight="1">
      <c r="A231" s="139" t="s">
        <v>623</v>
      </c>
      <c r="B231" s="168">
        <f>('Pivot Table for Data Exchange'!$O$186)*100</f>
        <v>50.407313114558605</v>
      </c>
      <c r="C231" s="168">
        <f>('Pivot Table for Data Exchange'!$O$189)*100</f>
        <v>5.9334922829110983</v>
      </c>
      <c r="D231" s="169">
        <f t="shared" si="59"/>
        <v>43.659194602530299</v>
      </c>
      <c r="E231" s="168">
        <f>('Pivot Table for Data Exchange'!$O$192)*100</f>
        <v>43.659194602530299</v>
      </c>
      <c r="F231" s="168">
        <f>('Pivot Table for Data Exchange'!$O$195)*100</f>
        <v>0</v>
      </c>
      <c r="G231" s="176">
        <f>('Pivot Table for Data Exchange'!$O$198)*100</f>
        <v>0</v>
      </c>
      <c r="H231" s="168">
        <f>('Pivot Table for Data Exchange'!$O$201)*100</f>
        <v>0</v>
      </c>
      <c r="I231" s="206"/>
      <c r="J231" s="206"/>
      <c r="K231" s="206"/>
      <c r="L231" s="206"/>
      <c r="M231" s="206"/>
      <c r="N231" s="206"/>
      <c r="O231" s="206"/>
      <c r="P231" s="207"/>
      <c r="Q231" s="173">
        <f t="shared" si="52"/>
        <v>100</v>
      </c>
      <c r="R231" s="173"/>
      <c r="Z231" s="174"/>
      <c r="AA231" s="174"/>
      <c r="AB231" s="174"/>
      <c r="AC231" s="174"/>
      <c r="AD231" s="174"/>
      <c r="AE231" s="174"/>
      <c r="AF231" s="174"/>
      <c r="AG231" s="174"/>
      <c r="AH231" s="174"/>
      <c r="AI231" s="174"/>
      <c r="AJ231" s="174"/>
      <c r="AK231" s="174"/>
      <c r="AL231" s="174"/>
      <c r="AM231" s="174"/>
      <c r="AN231" s="174"/>
      <c r="AO231" s="174"/>
    </row>
    <row r="232" spans="1:41" ht="15.75" customHeight="1">
      <c r="A232" s="139" t="s">
        <v>624</v>
      </c>
      <c r="B232" s="168">
        <f>('Pivot Table for Data Exchange'!$O$222)*100</f>
        <v>74.503353362399722</v>
      </c>
      <c r="C232" s="168">
        <f>('Pivot Table for Data Exchange'!$O$225)*100</f>
        <v>0</v>
      </c>
      <c r="D232" s="169">
        <f t="shared" si="59"/>
        <v>25.496646637600289</v>
      </c>
      <c r="E232" s="168">
        <f>('Pivot Table for Data Exchange'!$O$228)*100</f>
        <v>25.496646637600289</v>
      </c>
      <c r="F232" s="168">
        <f>('Pivot Table for Data Exchange'!$O$231)*100</f>
        <v>0</v>
      </c>
      <c r="G232" s="176">
        <f>('Pivot Table for Data Exchange'!$O$234)*100</f>
        <v>0</v>
      </c>
      <c r="H232" s="168">
        <f>('Pivot Table for Data Exchange'!$O$237)*100</f>
        <v>0</v>
      </c>
      <c r="I232" s="206"/>
      <c r="J232" s="206"/>
      <c r="K232" s="206"/>
      <c r="L232" s="206"/>
      <c r="M232" s="206"/>
      <c r="N232" s="206"/>
      <c r="O232" s="206"/>
      <c r="P232" s="207"/>
      <c r="Q232" s="173">
        <f t="shared" si="52"/>
        <v>100.00000000000001</v>
      </c>
      <c r="R232" s="173"/>
      <c r="Z232" s="174"/>
      <c r="AA232" s="174"/>
      <c r="AB232" s="174"/>
      <c r="AC232" s="174"/>
      <c r="AD232" s="174"/>
      <c r="AE232" s="174"/>
      <c r="AF232" s="174"/>
      <c r="AG232" s="174"/>
      <c r="AH232" s="174"/>
      <c r="AI232" s="174"/>
      <c r="AJ232" s="174"/>
      <c r="AK232" s="174"/>
      <c r="AL232" s="174"/>
      <c r="AM232" s="174"/>
      <c r="AN232" s="174"/>
      <c r="AO232" s="174"/>
    </row>
    <row r="233" spans="1:41" ht="15.75" customHeight="1">
      <c r="A233" s="139" t="s">
        <v>625</v>
      </c>
      <c r="B233" s="168">
        <f>('Pivot Table for Data Exchange'!$O$258)*100</f>
        <v>63.604585979986496</v>
      </c>
      <c r="C233" s="168">
        <f>('Pivot Table for Data Exchange'!$O$261)*100</f>
        <v>14.979146834390381</v>
      </c>
      <c r="D233" s="169">
        <f t="shared" si="59"/>
        <v>21.415191667269383</v>
      </c>
      <c r="E233" s="168">
        <f>('Pivot Table for Data Exchange'!$O$264)*100</f>
        <v>21.312499581493896</v>
      </c>
      <c r="F233" s="168">
        <f>('Pivot Table for Data Exchange'!$O$267)*100</f>
        <v>0.10269208577548862</v>
      </c>
      <c r="G233" s="175">
        <f>('Pivot Table for Data Exchange'!$O$270)*100</f>
        <v>0</v>
      </c>
      <c r="H233" s="177">
        <f>('Pivot Table for Data Exchange'!$O$273)*100</f>
        <v>1.0755183537386318E-3</v>
      </c>
      <c r="I233" s="206"/>
      <c r="J233" s="206"/>
      <c r="K233" s="206"/>
      <c r="L233" s="206"/>
      <c r="M233" s="206"/>
      <c r="N233" s="206"/>
      <c r="O233" s="206"/>
      <c r="P233" s="207"/>
      <c r="Q233" s="173">
        <f t="shared" si="52"/>
        <v>100</v>
      </c>
      <c r="R233" s="173"/>
      <c r="Z233" s="174"/>
      <c r="AA233" s="174"/>
      <c r="AB233" s="174"/>
      <c r="AC233" s="174"/>
      <c r="AD233" s="174"/>
      <c r="AE233" s="174"/>
      <c r="AF233" s="174"/>
      <c r="AG233" s="174"/>
      <c r="AH233" s="174"/>
      <c r="AI233" s="174"/>
      <c r="AJ233" s="174"/>
      <c r="AK233" s="174"/>
      <c r="AL233" s="174"/>
      <c r="AM233" s="174"/>
      <c r="AN233" s="174"/>
      <c r="AO233" s="174"/>
    </row>
    <row r="234" spans="1:41" ht="15.75" customHeight="1">
      <c r="B234" s="168"/>
      <c r="C234" s="168"/>
      <c r="D234" s="169"/>
      <c r="E234" s="168"/>
      <c r="F234" s="168"/>
      <c r="G234" s="176"/>
      <c r="H234" s="168"/>
      <c r="I234" s="206"/>
      <c r="J234" s="206"/>
      <c r="K234" s="206"/>
      <c r="L234" s="206"/>
      <c r="M234" s="206"/>
      <c r="N234" s="206"/>
      <c r="O234" s="206"/>
      <c r="P234" s="207"/>
      <c r="Q234" s="173">
        <f t="shared" si="52"/>
        <v>0</v>
      </c>
      <c r="R234" s="173"/>
      <c r="Z234" s="174"/>
      <c r="AA234" s="174"/>
      <c r="AB234" s="174"/>
      <c r="AC234" s="174"/>
      <c r="AD234" s="174"/>
      <c r="AE234" s="174"/>
      <c r="AF234" s="174"/>
      <c r="AG234" s="174"/>
      <c r="AH234" s="174"/>
      <c r="AI234" s="174"/>
      <c r="AJ234" s="174"/>
      <c r="AK234" s="174"/>
      <c r="AL234" s="174"/>
      <c r="AM234" s="174"/>
      <c r="AN234" s="174"/>
      <c r="AO234" s="174"/>
    </row>
    <row r="235" spans="1:41" ht="15.75" customHeight="1">
      <c r="A235" s="139" t="s">
        <v>672</v>
      </c>
      <c r="B235" s="168">
        <f>('Pivot Table for Data Exchange'!$O$294)*100</f>
        <v>0</v>
      </c>
      <c r="C235" s="168">
        <f>('Pivot Table for Data Exchange'!$O$297)*100</f>
        <v>0</v>
      </c>
      <c r="D235" s="169">
        <f t="shared" ref="D235:D237" si="60">SUM(E235:G235)</f>
        <v>0</v>
      </c>
      <c r="E235" s="168">
        <f>('Pivot Table for Data Exchange'!$O$300)*100</f>
        <v>0</v>
      </c>
      <c r="F235" s="168">
        <f>('Pivot Table for Data Exchange'!$O$303)*100</f>
        <v>0</v>
      </c>
      <c r="G235" s="176">
        <f>('Pivot Table for Data Exchange'!$O$306)*100</f>
        <v>0</v>
      </c>
      <c r="H235" s="168">
        <f>('Pivot Table for Data Exchange'!$O$309)*100</f>
        <v>0</v>
      </c>
      <c r="I235" s="206"/>
      <c r="J235" s="206"/>
      <c r="K235" s="206"/>
      <c r="L235" s="206"/>
      <c r="M235" s="206"/>
      <c r="N235" s="206"/>
      <c r="O235" s="206"/>
      <c r="P235" s="207"/>
      <c r="Q235" s="173">
        <f t="shared" si="52"/>
        <v>0</v>
      </c>
      <c r="R235" s="173"/>
      <c r="Z235" s="174"/>
      <c r="AA235" s="174"/>
      <c r="AB235" s="174"/>
      <c r="AC235" s="174"/>
      <c r="AD235" s="174"/>
      <c r="AE235" s="174"/>
      <c r="AF235" s="174"/>
      <c r="AG235" s="174"/>
      <c r="AH235" s="174"/>
      <c r="AI235" s="174"/>
      <c r="AJ235" s="174"/>
      <c r="AK235" s="174"/>
      <c r="AL235" s="174"/>
      <c r="AM235" s="174"/>
      <c r="AN235" s="174"/>
      <c r="AO235" s="174"/>
    </row>
    <row r="236" spans="1:41" ht="15.75" customHeight="1">
      <c r="A236" s="139" t="s">
        <v>627</v>
      </c>
      <c r="B236" s="168">
        <f>('Pivot Table for Data Exchange'!$O$330)*100</f>
        <v>50.216193951742881</v>
      </c>
      <c r="C236" s="168">
        <f>('Pivot Table for Data Exchange'!$O$333)*100</f>
        <v>3.8782477732807843</v>
      </c>
      <c r="D236" s="169">
        <f t="shared" si="60"/>
        <v>45.905558274976336</v>
      </c>
      <c r="E236" s="168">
        <f>('Pivot Table for Data Exchange'!$O$336)*100</f>
        <v>45.753248602372487</v>
      </c>
      <c r="F236" s="168">
        <f>('Pivot Table for Data Exchange'!$O$339)*100</f>
        <v>0.15230967260384762</v>
      </c>
      <c r="G236" s="176">
        <f>('Pivot Table for Data Exchange'!$O$342)*100</f>
        <v>0</v>
      </c>
      <c r="H236" s="168">
        <f>('Pivot Table for Data Exchange'!$O$345)*100</f>
        <v>0</v>
      </c>
      <c r="I236" s="206"/>
      <c r="J236" s="206"/>
      <c r="K236" s="206"/>
      <c r="L236" s="206"/>
      <c r="M236" s="206"/>
      <c r="N236" s="206"/>
      <c r="O236" s="206"/>
      <c r="P236" s="207"/>
      <c r="Q236" s="173">
        <f t="shared" si="52"/>
        <v>100</v>
      </c>
      <c r="R236" s="173"/>
      <c r="Z236" s="174"/>
      <c r="AA236" s="174"/>
      <c r="AB236" s="174"/>
      <c r="AC236" s="174"/>
      <c r="AD236" s="174"/>
      <c r="AE236" s="174"/>
      <c r="AF236" s="174"/>
      <c r="AG236" s="174"/>
      <c r="AH236" s="174"/>
      <c r="AI236" s="174"/>
      <c r="AJ236" s="174"/>
      <c r="AK236" s="174"/>
      <c r="AL236" s="174"/>
      <c r="AM236" s="174"/>
      <c r="AN236" s="174"/>
      <c r="AO236" s="174"/>
    </row>
    <row r="237" spans="1:41" ht="15.75" customHeight="1">
      <c r="A237" s="139" t="s">
        <v>628</v>
      </c>
      <c r="B237" s="168">
        <f>('Pivot Table for Data Exchange'!$O$366)*100</f>
        <v>0</v>
      </c>
      <c r="C237" s="168">
        <f>('Pivot Table for Data Exchange'!$O$369)*100</f>
        <v>0</v>
      </c>
      <c r="D237" s="169">
        <f t="shared" si="60"/>
        <v>0</v>
      </c>
      <c r="E237" s="168">
        <f>('Pivot Table for Data Exchange'!$O$372)*100</f>
        <v>0</v>
      </c>
      <c r="F237" s="168">
        <f>('Pivot Table for Data Exchange'!$O$375)*100</f>
        <v>0</v>
      </c>
      <c r="G237" s="176">
        <f>('Pivot Table for Data Exchange'!$O$378)*100</f>
        <v>0</v>
      </c>
      <c r="H237" s="180">
        <f>('Pivot Table for Data Exchange'!$O$381)*100</f>
        <v>0</v>
      </c>
      <c r="I237" s="206"/>
      <c r="J237" s="206"/>
      <c r="K237" s="206"/>
      <c r="L237" s="206"/>
      <c r="M237" s="206"/>
      <c r="N237" s="206"/>
      <c r="O237" s="206"/>
      <c r="P237" s="207"/>
      <c r="Q237" s="173">
        <f t="shared" si="52"/>
        <v>0</v>
      </c>
      <c r="R237" s="173"/>
      <c r="Z237" s="174"/>
      <c r="AA237" s="174"/>
      <c r="AB237" s="174"/>
      <c r="AC237" s="174"/>
      <c r="AD237" s="174"/>
      <c r="AE237" s="174"/>
      <c r="AF237" s="174"/>
      <c r="AG237" s="174"/>
      <c r="AH237" s="174"/>
      <c r="AI237" s="174"/>
      <c r="AJ237" s="174"/>
      <c r="AK237" s="174"/>
      <c r="AL237" s="174"/>
      <c r="AM237" s="174"/>
      <c r="AN237" s="174"/>
      <c r="AO237" s="174"/>
    </row>
    <row r="238" spans="1:41" ht="15.75" customHeight="1">
      <c r="A238" s="139" t="s">
        <v>629</v>
      </c>
      <c r="B238" s="168">
        <f>('Pivot Table for Data Exchange'!$O$402)*100</f>
        <v>55.638509739998689</v>
      </c>
      <c r="C238" s="168">
        <f>('Pivot Table for Data Exchange'!$O$405)*100</f>
        <v>8.2711176950009797</v>
      </c>
      <c r="D238" s="169">
        <f>SUM(E238:G238)</f>
        <v>36.09037256500033</v>
      </c>
      <c r="E238" s="168">
        <f>('Pivot Table for Data Exchange'!$O$408)*100</f>
        <v>35.114030028939162</v>
      </c>
      <c r="F238" s="168">
        <f>('Pivot Table for Data Exchange'!$O$411)*100</f>
        <v>0.68862834835050224</v>
      </c>
      <c r="G238" s="176">
        <f>('Pivot Table for Data Exchange'!$O$414)*100</f>
        <v>0.28771418771065926</v>
      </c>
      <c r="H238" s="168">
        <f>('Pivot Table for Data Exchange'!$O$417)*100</f>
        <v>0</v>
      </c>
      <c r="I238" s="206"/>
      <c r="J238" s="206"/>
      <c r="K238" s="206"/>
      <c r="L238" s="206"/>
      <c r="M238" s="206"/>
      <c r="N238" s="206"/>
      <c r="O238" s="206"/>
      <c r="P238" s="207"/>
      <c r="Q238" s="173">
        <f t="shared" si="52"/>
        <v>100</v>
      </c>
      <c r="R238" s="173"/>
      <c r="Z238" s="174"/>
      <c r="AA238" s="174"/>
      <c r="AB238" s="174"/>
      <c r="AC238" s="174"/>
      <c r="AD238" s="174"/>
      <c r="AE238" s="174"/>
      <c r="AF238" s="174"/>
      <c r="AG238" s="174"/>
      <c r="AH238" s="174"/>
      <c r="AI238" s="174"/>
      <c r="AJ238" s="174"/>
      <c r="AK238" s="174"/>
      <c r="AL238" s="174"/>
      <c r="AM238" s="174"/>
      <c r="AN238" s="174"/>
      <c r="AO238" s="174"/>
    </row>
    <row r="239" spans="1:41" ht="10.5" customHeight="1">
      <c r="B239" s="168"/>
      <c r="C239" s="168"/>
      <c r="D239" s="169"/>
      <c r="E239" s="168"/>
      <c r="F239" s="168"/>
      <c r="G239" s="176"/>
      <c r="H239" s="168"/>
      <c r="I239" s="206"/>
      <c r="J239" s="206"/>
      <c r="K239" s="206"/>
      <c r="L239" s="206"/>
      <c r="M239" s="206"/>
      <c r="N239" s="206"/>
      <c r="O239" s="206"/>
      <c r="P239" s="207"/>
      <c r="Q239" s="173">
        <f t="shared" si="52"/>
        <v>0</v>
      </c>
      <c r="R239" s="173"/>
      <c r="Z239" s="174"/>
      <c r="AA239" s="174"/>
      <c r="AB239" s="174"/>
      <c r="AC239" s="174"/>
      <c r="AD239" s="174"/>
      <c r="AE239" s="174"/>
      <c r="AF239" s="174"/>
      <c r="AG239" s="174"/>
      <c r="AH239" s="174"/>
      <c r="AI239" s="174"/>
      <c r="AJ239" s="174"/>
      <c r="AK239" s="174"/>
      <c r="AL239" s="174"/>
      <c r="AM239" s="174"/>
      <c r="AN239" s="174"/>
      <c r="AO239" s="174"/>
    </row>
    <row r="240" spans="1:41" ht="15.75" customHeight="1">
      <c r="A240" s="139" t="s">
        <v>630</v>
      </c>
      <c r="B240" s="168">
        <f>('Pivot Table for Data Exchange'!$O$438)*100</f>
        <v>35.825927868115606</v>
      </c>
      <c r="C240" s="168">
        <f>('Pivot Table for Data Exchange'!$O$441)*100</f>
        <v>32.840702122379803</v>
      </c>
      <c r="D240" s="169">
        <f>SUM(E240:G240)</f>
        <v>31.153812839157041</v>
      </c>
      <c r="E240" s="168">
        <f>('Pivot Table for Data Exchange'!$O$444)*100</f>
        <v>24.184442904565483</v>
      </c>
      <c r="F240" s="168">
        <f>('Pivot Table for Data Exchange'!$O$447)*100</f>
        <v>1.5648629793848703</v>
      </c>
      <c r="G240" s="176">
        <f>('Pivot Table for Data Exchange'!$O$450)*100</f>
        <v>5.4045069552066902</v>
      </c>
      <c r="H240" s="168">
        <f>('Pivot Table for Data Exchange'!$O$453)*100</f>
        <v>0.17955717034754964</v>
      </c>
      <c r="I240" s="206"/>
      <c r="J240" s="206"/>
      <c r="K240" s="206"/>
      <c r="L240" s="206"/>
      <c r="M240" s="206"/>
      <c r="N240" s="206"/>
      <c r="O240" s="206"/>
      <c r="P240" s="207"/>
      <c r="Q240" s="173">
        <f t="shared" si="52"/>
        <v>100</v>
      </c>
      <c r="R240" s="173"/>
      <c r="Z240" s="174"/>
      <c r="AA240" s="174"/>
      <c r="AB240" s="174"/>
      <c r="AC240" s="174"/>
      <c r="AD240" s="174"/>
      <c r="AE240" s="174"/>
      <c r="AF240" s="174"/>
      <c r="AG240" s="174"/>
      <c r="AH240" s="174"/>
      <c r="AI240" s="174"/>
      <c r="AJ240" s="174"/>
      <c r="AK240" s="174"/>
      <c r="AL240" s="174"/>
      <c r="AM240" s="174"/>
      <c r="AN240" s="174"/>
      <c r="AO240" s="174"/>
    </row>
    <row r="241" spans="1:41" ht="15.75" customHeight="1">
      <c r="A241" s="139" t="s">
        <v>631</v>
      </c>
      <c r="B241" s="168">
        <f>('Pivot Table for Data Exchange'!$O$474)*100</f>
        <v>0</v>
      </c>
      <c r="C241" s="168">
        <f>('Pivot Table for Data Exchange'!$O$477)*100</f>
        <v>0</v>
      </c>
      <c r="D241" s="169">
        <f>SUM(E241:G241)</f>
        <v>0</v>
      </c>
      <c r="E241" s="168">
        <f>('Pivot Table for Data Exchange'!$O$480)*100</f>
        <v>0</v>
      </c>
      <c r="F241" s="168">
        <f>('Pivot Table for Data Exchange'!$O$483)*100</f>
        <v>0</v>
      </c>
      <c r="G241" s="176">
        <f>('Pivot Table for Data Exchange'!$O$486)*100</f>
        <v>0</v>
      </c>
      <c r="H241" s="168">
        <f>('Pivot Table for Data Exchange'!$O$489)*100</f>
        <v>0</v>
      </c>
      <c r="I241" s="206"/>
      <c r="J241" s="206"/>
      <c r="K241" s="206"/>
      <c r="L241" s="206"/>
      <c r="M241" s="206"/>
      <c r="N241" s="206"/>
      <c r="O241" s="206"/>
      <c r="P241" s="207"/>
      <c r="Q241" s="173">
        <f t="shared" si="52"/>
        <v>0</v>
      </c>
      <c r="R241" s="173"/>
      <c r="Z241" s="174"/>
      <c r="AA241" s="174"/>
      <c r="AB241" s="174"/>
      <c r="AC241" s="174"/>
      <c r="AD241" s="174"/>
      <c r="AE241" s="174"/>
      <c r="AF241" s="174"/>
      <c r="AG241" s="174"/>
      <c r="AH241" s="174"/>
      <c r="AI241" s="174"/>
      <c r="AJ241" s="174"/>
      <c r="AK241" s="174"/>
      <c r="AL241" s="174"/>
      <c r="AM241" s="174"/>
      <c r="AN241" s="174"/>
      <c r="AO241" s="174"/>
    </row>
    <row r="242" spans="1:41" ht="15.75" customHeight="1">
      <c r="A242" s="139" t="s">
        <v>632</v>
      </c>
      <c r="B242" s="168">
        <f>('Pivot Table for Data Exchange'!$O$510)*100</f>
        <v>52.013706961471918</v>
      </c>
      <c r="C242" s="168">
        <f>('Pivot Table for Data Exchange'!$O$513)*100</f>
        <v>16.204741840432504</v>
      </c>
      <c r="D242" s="169">
        <f t="shared" ref="D242" si="61">SUM(E242:G242)</f>
        <v>31.781551198095585</v>
      </c>
      <c r="E242" s="168">
        <f>('Pivot Table for Data Exchange'!$O$516)*100</f>
        <v>29.408777779088126</v>
      </c>
      <c r="F242" s="168">
        <f>('Pivot Table for Data Exchange'!$O$519)*100</f>
        <v>2.3727734190074581</v>
      </c>
      <c r="G242" s="176">
        <f>('Pivot Table for Data Exchange'!$O$522)*100</f>
        <v>0</v>
      </c>
      <c r="H242" s="168">
        <f>('Pivot Table for Data Exchange'!$O$525)*100</f>
        <v>0</v>
      </c>
      <c r="I242" s="206"/>
      <c r="J242" s="206"/>
      <c r="K242" s="206"/>
      <c r="L242" s="206"/>
      <c r="M242" s="206"/>
      <c r="N242" s="206"/>
      <c r="O242" s="206"/>
      <c r="P242" s="207"/>
      <c r="Q242" s="173">
        <f t="shared" si="52"/>
        <v>100.00000000000001</v>
      </c>
      <c r="R242" s="173"/>
      <c r="Z242" s="174"/>
      <c r="AA242" s="174"/>
      <c r="AB242" s="174"/>
      <c r="AC242" s="174"/>
      <c r="AD242" s="174"/>
      <c r="AE242" s="174"/>
      <c r="AF242" s="174"/>
      <c r="AG242" s="174"/>
      <c r="AH242" s="174"/>
      <c r="AI242" s="174"/>
      <c r="AJ242" s="174"/>
      <c r="AK242" s="174"/>
      <c r="AL242" s="174"/>
      <c r="AM242" s="174"/>
      <c r="AN242" s="174"/>
      <c r="AO242" s="174"/>
    </row>
    <row r="243" spans="1:41" ht="15.75" customHeight="1">
      <c r="A243" s="145" t="s">
        <v>633</v>
      </c>
      <c r="B243" s="181">
        <f>('Pivot Table for Data Exchange'!$O$546)*100</f>
        <v>54.802868562593552</v>
      </c>
      <c r="C243" s="181">
        <f>('Pivot Table for Data Exchange'!$O$549)*100</f>
        <v>11.983047409137512</v>
      </c>
      <c r="D243" s="182">
        <f>SUM(E243:G243)</f>
        <v>33.214084028268935</v>
      </c>
      <c r="E243" s="181">
        <f>('Pivot Table for Data Exchange'!$O$552)*100</f>
        <v>32.034475385298613</v>
      </c>
      <c r="F243" s="181">
        <f>('Pivot Table for Data Exchange'!$O$555)*100</f>
        <v>1.1752224616346201</v>
      </c>
      <c r="G243" s="183">
        <f>('Pivot Table for Data Exchange'!$O$558)*100</f>
        <v>4.3861813357018711E-3</v>
      </c>
      <c r="H243" s="181">
        <f>('Pivot Table for Data Exchange'!$O$561)*100</f>
        <v>0</v>
      </c>
      <c r="I243" s="206"/>
      <c r="J243" s="206"/>
      <c r="K243" s="206"/>
      <c r="L243" s="206"/>
      <c r="M243" s="206"/>
      <c r="N243" s="206"/>
      <c r="O243" s="206"/>
      <c r="P243" s="207"/>
      <c r="Q243" s="173">
        <f t="shared" si="52"/>
        <v>100</v>
      </c>
      <c r="R243" s="173"/>
      <c r="Z243" s="174"/>
      <c r="AA243" s="174"/>
      <c r="AB243" s="174"/>
      <c r="AC243" s="174"/>
      <c r="AD243" s="174"/>
      <c r="AE243" s="174"/>
      <c r="AF243" s="174"/>
      <c r="AG243" s="174"/>
      <c r="AH243" s="174"/>
      <c r="AI243" s="174"/>
      <c r="AJ243" s="174"/>
      <c r="AK243" s="174"/>
      <c r="AL243" s="174"/>
      <c r="AM243" s="174"/>
      <c r="AN243" s="174"/>
      <c r="AO243" s="174"/>
    </row>
    <row r="244" spans="1:41" s="186" customFormat="1" ht="14.25" customHeight="1">
      <c r="A244" s="187" t="s">
        <v>658</v>
      </c>
      <c r="B244" s="188"/>
      <c r="C244" s="188"/>
      <c r="D244" s="189"/>
      <c r="E244" s="188"/>
      <c r="F244" s="189"/>
      <c r="G244" s="189"/>
      <c r="H244" s="188"/>
      <c r="I244" s="197"/>
      <c r="J244" s="188"/>
      <c r="K244" s="188"/>
      <c r="L244" s="189"/>
      <c r="M244" s="188"/>
      <c r="N244" s="189"/>
      <c r="O244" s="189"/>
      <c r="P244" s="188"/>
      <c r="Q244" s="173">
        <f t="shared" si="52"/>
        <v>0</v>
      </c>
      <c r="R244" s="208"/>
      <c r="S244" s="190"/>
      <c r="T244" s="190"/>
      <c r="U244" s="190"/>
      <c r="V244" s="190"/>
      <c r="W244" s="190"/>
      <c r="X244" s="190"/>
      <c r="Y244" s="190"/>
      <c r="Z244" s="190"/>
      <c r="AA244" s="190"/>
      <c r="AB244" s="190"/>
      <c r="AC244" s="190"/>
      <c r="AD244" s="190"/>
      <c r="AE244" s="190"/>
      <c r="AF244" s="190"/>
      <c r="AG244" s="190"/>
      <c r="AH244" s="190"/>
      <c r="AI244" s="190"/>
      <c r="AJ244" s="190"/>
      <c r="AK244" s="190"/>
      <c r="AL244" s="190"/>
      <c r="AM244" s="190"/>
      <c r="AN244" s="190"/>
      <c r="AO244" s="190"/>
    </row>
    <row r="245" spans="1:41" s="186" customFormat="1" ht="24" customHeight="1">
      <c r="A245" s="492" t="s">
        <v>673</v>
      </c>
      <c r="B245" s="505"/>
      <c r="C245" s="505"/>
      <c r="D245" s="505"/>
      <c r="E245" s="505"/>
      <c r="F245" s="505"/>
      <c r="G245" s="505"/>
      <c r="H245" s="505"/>
      <c r="I245" s="197"/>
      <c r="P245" s="199"/>
      <c r="Q245" s="173">
        <f t="shared" si="52"/>
        <v>0</v>
      </c>
      <c r="R245" s="209"/>
    </row>
    <row r="246" spans="1:41" ht="12" customHeight="1">
      <c r="B246" s="210"/>
      <c r="C246" s="210"/>
      <c r="D246" s="211"/>
      <c r="E246" s="210"/>
      <c r="F246" s="211"/>
      <c r="G246" s="211"/>
      <c r="H246" s="210"/>
      <c r="I246" s="139"/>
      <c r="J246" s="210"/>
      <c r="K246" s="210"/>
      <c r="L246" s="211"/>
      <c r="M246" s="210"/>
      <c r="N246" s="211"/>
      <c r="O246" s="211"/>
      <c r="P246" s="210"/>
      <c r="Q246" s="173">
        <f t="shared" si="52"/>
        <v>0</v>
      </c>
      <c r="R246" s="173"/>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row>
    <row r="247" spans="1:41" s="186" customFormat="1">
      <c r="H247" s="192" t="s">
        <v>923</v>
      </c>
      <c r="Q247" s="173">
        <f t="shared" si="52"/>
        <v>0</v>
      </c>
      <c r="R247" s="212"/>
    </row>
    <row r="248" spans="1:41" ht="18">
      <c r="A248" s="134" t="s">
        <v>674</v>
      </c>
      <c r="B248" s="135"/>
      <c r="C248" s="135"/>
      <c r="D248" s="135"/>
      <c r="E248" s="135"/>
      <c r="F248" s="135"/>
      <c r="G248" s="135"/>
      <c r="H248" s="135"/>
      <c r="Q248" s="173">
        <f t="shared" si="52"/>
        <v>0</v>
      </c>
    </row>
    <row r="249" spans="1:41" ht="13">
      <c r="A249" s="140"/>
      <c r="B249" s="136"/>
      <c r="C249" s="136"/>
      <c r="D249" s="136"/>
      <c r="E249" s="136"/>
      <c r="F249" s="136"/>
      <c r="G249" s="136"/>
      <c r="H249" s="136"/>
      <c r="Q249" s="173">
        <f t="shared" si="52"/>
        <v>0</v>
      </c>
    </row>
    <row r="250" spans="1:41" ht="15.5">
      <c r="A250" s="142" t="s">
        <v>639</v>
      </c>
      <c r="B250" s="136"/>
      <c r="C250" s="136"/>
      <c r="D250" s="136"/>
      <c r="E250" s="136"/>
      <c r="F250" s="136"/>
      <c r="G250" s="136"/>
      <c r="H250" s="136"/>
      <c r="Q250" s="173">
        <f t="shared" si="52"/>
        <v>0</v>
      </c>
    </row>
    <row r="251" spans="1:41" ht="15.5">
      <c r="A251" s="142" t="s">
        <v>754</v>
      </c>
      <c r="B251" s="136"/>
      <c r="C251" s="136"/>
      <c r="D251" s="136"/>
      <c r="E251" s="136"/>
      <c r="F251" s="136"/>
      <c r="G251" s="136"/>
      <c r="H251" s="136"/>
      <c r="Q251" s="173">
        <f t="shared" si="52"/>
        <v>0</v>
      </c>
    </row>
    <row r="252" spans="1:41">
      <c r="A252" s="145"/>
      <c r="B252" s="146"/>
      <c r="C252" s="146"/>
      <c r="D252" s="146"/>
      <c r="E252" s="146"/>
      <c r="F252" s="146"/>
      <c r="G252" s="146"/>
      <c r="H252" s="146"/>
      <c r="Q252" s="173">
        <f t="shared" si="52"/>
        <v>0</v>
      </c>
    </row>
    <row r="253" spans="1:41">
      <c r="A253" s="150"/>
      <c r="B253" s="151" t="s">
        <v>641</v>
      </c>
      <c r="C253" s="151"/>
      <c r="D253" s="151"/>
      <c r="E253" s="151"/>
      <c r="F253" s="151"/>
      <c r="G253" s="151"/>
      <c r="H253" s="152"/>
      <c r="Q253" s="173">
        <f t="shared" si="52"/>
        <v>0</v>
      </c>
    </row>
    <row r="254" spans="1:41">
      <c r="A254" s="150"/>
      <c r="B254" s="151" t="s">
        <v>642</v>
      </c>
      <c r="C254" s="151"/>
      <c r="D254" s="487" t="s">
        <v>643</v>
      </c>
      <c r="E254" s="485"/>
      <c r="F254" s="485"/>
      <c r="G254" s="485"/>
      <c r="H254" s="158" t="s">
        <v>533</v>
      </c>
      <c r="Q254" s="173">
        <f t="shared" si="52"/>
        <v>0</v>
      </c>
    </row>
    <row r="255" spans="1:41" ht="34.5">
      <c r="A255" s="150"/>
      <c r="B255" s="159" t="s">
        <v>644</v>
      </c>
      <c r="C255" s="160" t="s">
        <v>645</v>
      </c>
      <c r="D255" s="161" t="s">
        <v>646</v>
      </c>
      <c r="E255" s="162" t="s">
        <v>8</v>
      </c>
      <c r="F255" s="159" t="s">
        <v>647</v>
      </c>
      <c r="G255" s="163" t="s">
        <v>656</v>
      </c>
      <c r="H255" s="164" t="s">
        <v>649</v>
      </c>
      <c r="Q255" s="173">
        <f t="shared" si="52"/>
        <v>0</v>
      </c>
    </row>
    <row r="256" spans="1:41" ht="15.75" customHeight="1">
      <c r="A256" s="194" t="s">
        <v>618</v>
      </c>
      <c r="B256" s="168">
        <f>('Pivot Table for Data Exchange'!$K$6)*100</f>
        <v>0</v>
      </c>
      <c r="C256" s="168">
        <f>('Pivot Table for Data Exchange'!$K$9)*100</f>
        <v>0</v>
      </c>
      <c r="D256" s="169">
        <f>SUM(E256:G256)</f>
        <v>0</v>
      </c>
      <c r="E256" s="168">
        <f>('Pivot Table for Data Exchange'!$K$12)*100</f>
        <v>0</v>
      </c>
      <c r="F256" s="168">
        <f>('Pivot Table for Data Exchange'!$K$15)*100</f>
        <v>0</v>
      </c>
      <c r="G256" s="172">
        <f>('Pivot Table for Data Exchange'!$K$18)*100</f>
        <v>0</v>
      </c>
      <c r="H256" s="168">
        <f>('Pivot Table for Data Exchange'!$K$21)*100</f>
        <v>0</v>
      </c>
      <c r="I256" s="139"/>
      <c r="J256" s="207"/>
      <c r="K256" s="207"/>
      <c r="L256" s="207"/>
      <c r="M256" s="207"/>
      <c r="N256" s="207"/>
      <c r="O256" s="207"/>
      <c r="P256" s="207"/>
      <c r="Q256" s="173">
        <f t="shared" si="52"/>
        <v>0</v>
      </c>
      <c r="R256" s="173"/>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row>
    <row r="257" spans="1:41" ht="15.75" customHeight="1">
      <c r="A257" s="139" t="s">
        <v>619</v>
      </c>
      <c r="B257" s="168">
        <f>('Pivot Table for Data Exchange'!$K$42)*100</f>
        <v>0</v>
      </c>
      <c r="C257" s="168">
        <f>('Pivot Table for Data Exchange'!$K$45)*100</f>
        <v>0</v>
      </c>
      <c r="D257" s="169">
        <f t="shared" ref="D257:D259" si="62">SUM(E257:G257)</f>
        <v>0</v>
      </c>
      <c r="E257" s="168">
        <f>('Pivot Table for Data Exchange'!$K$48)*100</f>
        <v>0</v>
      </c>
      <c r="F257" s="168">
        <f>('Pivot Table for Data Exchange'!$K$51)*100</f>
        <v>0</v>
      </c>
      <c r="G257" s="176">
        <f>('Pivot Table for Data Exchange'!$K$54)*100</f>
        <v>0</v>
      </c>
      <c r="H257" s="168">
        <f>('Pivot Table for Data Exchange'!$K$57)*100</f>
        <v>0</v>
      </c>
      <c r="I257" s="139"/>
      <c r="J257" s="207"/>
      <c r="K257" s="207"/>
      <c r="L257" s="207"/>
      <c r="M257" s="207"/>
      <c r="N257" s="207"/>
      <c r="O257" s="207"/>
      <c r="P257" s="207"/>
      <c r="Q257" s="173">
        <f t="shared" si="52"/>
        <v>0</v>
      </c>
      <c r="R257" s="173"/>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row>
    <row r="258" spans="1:41" ht="15.75" customHeight="1">
      <c r="A258" s="139" t="s">
        <v>620</v>
      </c>
      <c r="B258" s="168">
        <f>('Pivot Table for Data Exchange'!$K$78)*100</f>
        <v>0</v>
      </c>
      <c r="C258" s="168">
        <f>('Pivot Table for Data Exchange'!$K$81)*100</f>
        <v>0</v>
      </c>
      <c r="D258" s="169">
        <f t="shared" si="62"/>
        <v>0</v>
      </c>
      <c r="E258" s="168">
        <f>('Pivot Table for Data Exchange'!$K$84)*100</f>
        <v>0</v>
      </c>
      <c r="F258" s="168">
        <f>('Pivot Table for Data Exchange'!$K$87)*100</f>
        <v>0</v>
      </c>
      <c r="G258" s="176">
        <f>('Pivot Table for Data Exchange'!$K$90)*100</f>
        <v>0</v>
      </c>
      <c r="H258" s="168">
        <f>('Pivot Table for Data Exchange'!$K$93)*100</f>
        <v>0</v>
      </c>
      <c r="I258" s="139"/>
      <c r="J258" s="207"/>
      <c r="K258" s="207"/>
      <c r="L258" s="207"/>
      <c r="M258" s="207"/>
      <c r="N258" s="207"/>
      <c r="O258" s="207"/>
      <c r="P258" s="207"/>
      <c r="Q258" s="173">
        <f t="shared" si="52"/>
        <v>0</v>
      </c>
      <c r="R258" s="173"/>
      <c r="S258" s="174"/>
      <c r="T258" s="148"/>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row>
    <row r="259" spans="1:41" ht="15.75" customHeight="1">
      <c r="A259" s="139" t="s">
        <v>657</v>
      </c>
      <c r="B259" s="168">
        <f>('Pivot Table for Data Exchange'!$K$114)*100</f>
        <v>67.088731462459705</v>
      </c>
      <c r="C259" s="168">
        <f>('Pivot Table for Data Exchange'!$K$117)*100</f>
        <v>3.3530420428579526</v>
      </c>
      <c r="D259" s="169">
        <f t="shared" si="62"/>
        <v>29.516995310762184</v>
      </c>
      <c r="E259" s="168">
        <f>('Pivot Table for Data Exchange'!$K$120)*100</f>
        <v>29.03388800168883</v>
      </c>
      <c r="F259" s="168">
        <f>('Pivot Table for Data Exchange'!$K$123)*100</f>
        <v>1.1166015437932591E-2</v>
      </c>
      <c r="G259" s="176">
        <f>('Pivot Table for Data Exchange'!$K$126)*100</f>
        <v>0.47194129363542009</v>
      </c>
      <c r="H259" s="168">
        <f>('Pivot Table for Data Exchange'!$K$129)*100</f>
        <v>4.1231183920155907E-2</v>
      </c>
      <c r="I259" s="139"/>
      <c r="J259" s="207"/>
      <c r="K259" s="207"/>
      <c r="L259" s="207"/>
      <c r="M259" s="207"/>
      <c r="N259" s="207"/>
      <c r="O259" s="207"/>
      <c r="P259" s="207"/>
      <c r="Q259" s="173">
        <f t="shared" si="52"/>
        <v>100</v>
      </c>
      <c r="R259" s="173"/>
      <c r="S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row>
    <row r="260" spans="1:41" ht="15.75" customHeight="1">
      <c r="B260" s="168"/>
      <c r="C260" s="168"/>
      <c r="D260" s="169"/>
      <c r="E260" s="168"/>
      <c r="F260" s="168"/>
      <c r="G260" s="176"/>
      <c r="H260" s="168"/>
      <c r="I260" s="139"/>
      <c r="J260" s="207"/>
      <c r="K260" s="207"/>
      <c r="L260" s="207"/>
      <c r="M260" s="207"/>
      <c r="N260" s="207"/>
      <c r="O260" s="207"/>
      <c r="P260" s="207"/>
      <c r="Q260" s="173">
        <f t="shared" si="52"/>
        <v>0</v>
      </c>
      <c r="R260" s="173"/>
      <c r="S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row>
    <row r="261" spans="1:41" ht="15.75" customHeight="1">
      <c r="A261" s="139" t="s">
        <v>622</v>
      </c>
      <c r="B261" s="168">
        <f>('Pivot Table for Data Exchange'!$K$150)*100</f>
        <v>52.471761675143668</v>
      </c>
      <c r="C261" s="168">
        <f>('Pivot Table for Data Exchange'!$K$153)*100</f>
        <v>18.325516876940355</v>
      </c>
      <c r="D261" s="169">
        <f t="shared" ref="D261:D264" si="63">SUM(E261:G261)</f>
        <v>29.20272144791598</v>
      </c>
      <c r="E261" s="168">
        <f>('Pivot Table for Data Exchange'!$K$156)*100</f>
        <v>29.20272144791598</v>
      </c>
      <c r="F261" s="168">
        <f>('Pivot Table for Data Exchange'!$K$159)*100</f>
        <v>0</v>
      </c>
      <c r="G261" s="176">
        <f>('Pivot Table for Data Exchange'!$K$162)*100</f>
        <v>0</v>
      </c>
      <c r="H261" s="168">
        <f>('Pivot Table for Data Exchange'!$K$165)*100</f>
        <v>0</v>
      </c>
      <c r="I261" s="139"/>
      <c r="J261" s="207"/>
      <c r="K261" s="207"/>
      <c r="L261" s="207"/>
      <c r="M261" s="207"/>
      <c r="N261" s="207"/>
      <c r="O261" s="207"/>
      <c r="P261" s="207"/>
      <c r="Q261" s="173">
        <f t="shared" si="52"/>
        <v>100</v>
      </c>
      <c r="R261" s="173"/>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row>
    <row r="262" spans="1:41" ht="15.75" customHeight="1">
      <c r="A262" s="139" t="s">
        <v>623</v>
      </c>
      <c r="B262" s="168">
        <f>('Pivot Table for Data Exchange'!$K$186)*100</f>
        <v>0</v>
      </c>
      <c r="C262" s="168">
        <f>('Pivot Table for Data Exchange'!$K$189)*100</f>
        <v>0</v>
      </c>
      <c r="D262" s="169">
        <f t="shared" si="63"/>
        <v>0</v>
      </c>
      <c r="E262" s="168">
        <f>('Pivot Table for Data Exchange'!$K$192)*100</f>
        <v>0</v>
      </c>
      <c r="F262" s="168">
        <f>('Pivot Table for Data Exchange'!$K$195)*100</f>
        <v>0</v>
      </c>
      <c r="G262" s="176">
        <f>('Pivot Table for Data Exchange'!$K$198)*100</f>
        <v>0</v>
      </c>
      <c r="H262" s="168">
        <f>('Pivot Table for Data Exchange'!$K$201)*100</f>
        <v>0</v>
      </c>
      <c r="I262" s="139"/>
      <c r="J262" s="207"/>
      <c r="K262" s="207"/>
      <c r="L262" s="207"/>
      <c r="M262" s="207"/>
      <c r="N262" s="207"/>
      <c r="O262" s="207"/>
      <c r="P262" s="207"/>
      <c r="Q262" s="173">
        <f t="shared" si="52"/>
        <v>0</v>
      </c>
      <c r="R262" s="173"/>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row>
    <row r="263" spans="1:41" ht="15.75" customHeight="1">
      <c r="A263" s="139" t="s">
        <v>624</v>
      </c>
      <c r="B263" s="168">
        <f>('Pivot Table for Data Exchange'!$K$222)*100</f>
        <v>0</v>
      </c>
      <c r="C263" s="168">
        <f>('Pivot Table for Data Exchange'!$K$225)*100</f>
        <v>0</v>
      </c>
      <c r="D263" s="169">
        <f t="shared" si="63"/>
        <v>0</v>
      </c>
      <c r="E263" s="168">
        <f>('Pivot Table for Data Exchange'!$K$228)*100</f>
        <v>0</v>
      </c>
      <c r="F263" s="168">
        <f>('Pivot Table for Data Exchange'!$K$231)*100</f>
        <v>0</v>
      </c>
      <c r="G263" s="176">
        <f>('Pivot Table for Data Exchange'!$K$234)*100</f>
        <v>0</v>
      </c>
      <c r="H263" s="168">
        <f>('Pivot Table for Data Exchange'!$K$237)*100</f>
        <v>0</v>
      </c>
      <c r="I263" s="139"/>
      <c r="J263" s="207"/>
      <c r="K263" s="207"/>
      <c r="L263" s="207"/>
      <c r="M263" s="207"/>
      <c r="N263" s="207"/>
      <c r="O263" s="207"/>
      <c r="P263" s="207"/>
      <c r="Q263" s="173">
        <f t="shared" si="52"/>
        <v>0</v>
      </c>
      <c r="R263" s="173"/>
      <c r="S263" s="174"/>
      <c r="T263" s="148"/>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row>
    <row r="264" spans="1:41" ht="15.75" customHeight="1">
      <c r="A264" s="139" t="s">
        <v>625</v>
      </c>
      <c r="B264" s="168">
        <f>('Pivot Table for Data Exchange'!$K$258)*100</f>
        <v>0</v>
      </c>
      <c r="C264" s="168">
        <f>('Pivot Table for Data Exchange'!$K$261)*100</f>
        <v>0</v>
      </c>
      <c r="D264" s="169">
        <f t="shared" si="63"/>
        <v>0</v>
      </c>
      <c r="E264" s="168">
        <f>('Pivot Table for Data Exchange'!$K$264)*100</f>
        <v>0</v>
      </c>
      <c r="F264" s="168">
        <f>('Pivot Table for Data Exchange'!$K$267)*100</f>
        <v>0</v>
      </c>
      <c r="G264" s="176">
        <f>('Pivot Table for Data Exchange'!$K$270)*100</f>
        <v>0</v>
      </c>
      <c r="H264" s="168">
        <f>('Pivot Table for Data Exchange'!$K$273)*100</f>
        <v>0</v>
      </c>
      <c r="I264" s="139"/>
      <c r="J264" s="207"/>
      <c r="K264" s="207"/>
      <c r="L264" s="207"/>
      <c r="M264" s="207"/>
      <c r="N264" s="207"/>
      <c r="O264" s="207"/>
      <c r="P264" s="207"/>
      <c r="Q264" s="173">
        <f t="shared" si="52"/>
        <v>0</v>
      </c>
      <c r="R264" s="173"/>
      <c r="S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row>
    <row r="265" spans="1:41" ht="15.75" customHeight="1">
      <c r="B265" s="168"/>
      <c r="C265" s="168"/>
      <c r="D265" s="169"/>
      <c r="E265" s="168"/>
      <c r="F265" s="168"/>
      <c r="G265" s="176"/>
      <c r="H265" s="168"/>
      <c r="I265" s="139"/>
      <c r="J265" s="207"/>
      <c r="K265" s="207"/>
      <c r="L265" s="207"/>
      <c r="M265" s="207"/>
      <c r="N265" s="207"/>
      <c r="O265" s="207"/>
      <c r="P265" s="207"/>
      <c r="Q265" s="173">
        <f t="shared" si="52"/>
        <v>0</v>
      </c>
      <c r="R265" s="173"/>
      <c r="S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row>
    <row r="266" spans="1:41" ht="15.75" customHeight="1">
      <c r="A266" s="139" t="s">
        <v>626</v>
      </c>
      <c r="B266" s="168">
        <f>('Pivot Table for Data Exchange'!$K$294)*100</f>
        <v>0</v>
      </c>
      <c r="C266" s="168">
        <f>('Pivot Table for Data Exchange'!$K$297)*100</f>
        <v>0</v>
      </c>
      <c r="D266" s="169">
        <f t="shared" ref="D266:D268" si="64">SUM(E266:G266)</f>
        <v>0</v>
      </c>
      <c r="E266" s="168">
        <f>('Pivot Table for Data Exchange'!$K$300)*100</f>
        <v>0</v>
      </c>
      <c r="F266" s="168">
        <f>('Pivot Table for Data Exchange'!$K$303)*100</f>
        <v>0</v>
      </c>
      <c r="G266" s="176">
        <f>('Pivot Table for Data Exchange'!$K$306)*100</f>
        <v>0</v>
      </c>
      <c r="H266" s="168">
        <f>('Pivot Table for Data Exchange'!$K$309)*100</f>
        <v>0</v>
      </c>
      <c r="I266" s="139"/>
      <c r="J266" s="207"/>
      <c r="K266" s="207"/>
      <c r="L266" s="207"/>
      <c r="M266" s="207"/>
      <c r="N266" s="207"/>
      <c r="O266" s="207"/>
      <c r="P266" s="207"/>
      <c r="Q266" s="173">
        <f t="shared" si="52"/>
        <v>0</v>
      </c>
      <c r="R266" s="173"/>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row>
    <row r="267" spans="1:41" ht="15.75" customHeight="1">
      <c r="A267" s="139" t="s">
        <v>627</v>
      </c>
      <c r="B267" s="168">
        <f>('Pivot Table for Data Exchange'!$K$330)*100</f>
        <v>0</v>
      </c>
      <c r="C267" s="168">
        <f>('Pivot Table for Data Exchange'!$K$333)*100</f>
        <v>0</v>
      </c>
      <c r="D267" s="169">
        <f t="shared" si="64"/>
        <v>0</v>
      </c>
      <c r="E267" s="168">
        <f>('Pivot Table for Data Exchange'!$K$336)*100</f>
        <v>0</v>
      </c>
      <c r="F267" s="168">
        <f>('Pivot Table for Data Exchange'!$K$339)*100</f>
        <v>0</v>
      </c>
      <c r="G267" s="176">
        <f>('Pivot Table for Data Exchange'!$K$342)*100</f>
        <v>0</v>
      </c>
      <c r="H267" s="168">
        <f>('Pivot Table for Data Exchange'!$K$345)*100</f>
        <v>0</v>
      </c>
      <c r="I267" s="139"/>
      <c r="J267" s="207"/>
      <c r="K267" s="207"/>
      <c r="L267" s="207"/>
      <c r="M267" s="207"/>
      <c r="N267" s="207"/>
      <c r="O267" s="207"/>
      <c r="P267" s="207"/>
      <c r="Q267" s="173">
        <f t="shared" ref="Q267:Q330" si="65">SUM(B267,C267,D267,H267)</f>
        <v>0</v>
      </c>
      <c r="R267" s="173"/>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row>
    <row r="268" spans="1:41" ht="15.75" customHeight="1">
      <c r="A268" s="139" t="s">
        <v>628</v>
      </c>
      <c r="B268" s="168">
        <f>('Pivot Table for Data Exchange'!$K$366)*100</f>
        <v>0</v>
      </c>
      <c r="C268" s="168">
        <f>('Pivot Table for Data Exchange'!$K$369)*100</f>
        <v>0</v>
      </c>
      <c r="D268" s="169">
        <f t="shared" si="64"/>
        <v>0</v>
      </c>
      <c r="E268" s="168">
        <f>('Pivot Table for Data Exchange'!$K$372)*100</f>
        <v>0</v>
      </c>
      <c r="F268" s="168">
        <f>('Pivot Table for Data Exchange'!$K$375)*100</f>
        <v>0</v>
      </c>
      <c r="G268" s="176">
        <f>('Pivot Table for Data Exchange'!$K$378)*100</f>
        <v>0</v>
      </c>
      <c r="H268" s="168">
        <f>('Pivot Table for Data Exchange'!$K$381)*100</f>
        <v>0</v>
      </c>
      <c r="I268" s="139"/>
      <c r="J268" s="207"/>
      <c r="K268" s="207"/>
      <c r="L268" s="207"/>
      <c r="M268" s="207"/>
      <c r="N268" s="207"/>
      <c r="O268" s="207"/>
      <c r="P268" s="207"/>
      <c r="Q268" s="173">
        <f t="shared" si="65"/>
        <v>0</v>
      </c>
      <c r="R268" s="173"/>
      <c r="S268" s="174"/>
      <c r="T268" s="148"/>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row>
    <row r="269" spans="1:41" ht="15.75" customHeight="1">
      <c r="A269" s="139" t="s">
        <v>629</v>
      </c>
      <c r="B269" s="168">
        <f>('Pivot Table for Data Exchange'!$K$402)*100</f>
        <v>0</v>
      </c>
      <c r="C269" s="168">
        <f>('Pivot Table for Data Exchange'!$K$405)*100</f>
        <v>0</v>
      </c>
      <c r="D269" s="169">
        <f>SUM(E269:G269)</f>
        <v>0</v>
      </c>
      <c r="E269" s="168">
        <f>('Pivot Table for Data Exchange'!$K$408)*100</f>
        <v>0</v>
      </c>
      <c r="F269" s="168">
        <f>('Pivot Table for Data Exchange'!$K$411)*100</f>
        <v>0</v>
      </c>
      <c r="G269" s="176">
        <f>('Pivot Table for Data Exchange'!$K$414)*100</f>
        <v>0</v>
      </c>
      <c r="H269" s="168">
        <f>('Pivot Table for Data Exchange'!$K$417)*100</f>
        <v>0</v>
      </c>
      <c r="I269" s="139"/>
      <c r="J269" s="207"/>
      <c r="K269" s="207"/>
      <c r="L269" s="207"/>
      <c r="M269" s="207"/>
      <c r="N269" s="207"/>
      <c r="O269" s="207"/>
      <c r="P269" s="207"/>
      <c r="Q269" s="173">
        <f t="shared" si="65"/>
        <v>0</v>
      </c>
      <c r="R269" s="173"/>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row>
    <row r="270" spans="1:41" ht="15.75" customHeight="1">
      <c r="B270" s="168"/>
      <c r="C270" s="168"/>
      <c r="D270" s="169"/>
      <c r="E270" s="168"/>
      <c r="F270" s="168"/>
      <c r="G270" s="176"/>
      <c r="H270" s="168"/>
      <c r="I270" s="139"/>
      <c r="J270" s="207"/>
      <c r="K270" s="207"/>
      <c r="L270" s="207"/>
      <c r="M270" s="207"/>
      <c r="N270" s="207"/>
      <c r="O270" s="207"/>
      <c r="P270" s="207"/>
      <c r="Q270" s="173">
        <f t="shared" si="65"/>
        <v>0</v>
      </c>
      <c r="R270" s="173"/>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row>
    <row r="271" spans="1:41" ht="15.75" customHeight="1">
      <c r="A271" s="139" t="s">
        <v>630</v>
      </c>
      <c r="B271" s="168">
        <f>('Pivot Table for Data Exchange'!$K$438)*100</f>
        <v>0</v>
      </c>
      <c r="C271" s="168">
        <f>('Pivot Table for Data Exchange'!$K$441)*100</f>
        <v>0</v>
      </c>
      <c r="D271" s="169">
        <f>SUM(E271:G271)</f>
        <v>0</v>
      </c>
      <c r="E271" s="168">
        <f>('Pivot Table for Data Exchange'!$K$444)*100</f>
        <v>0</v>
      </c>
      <c r="F271" s="168">
        <f>('Pivot Table for Data Exchange'!$K$447)*100</f>
        <v>0</v>
      </c>
      <c r="G271" s="176">
        <f>('Pivot Table for Data Exchange'!$K$450)*100</f>
        <v>0</v>
      </c>
      <c r="H271" s="168">
        <f>('Pivot Table for Data Exchange'!$K$453)*100</f>
        <v>0</v>
      </c>
      <c r="I271" s="139"/>
      <c r="J271" s="207"/>
      <c r="K271" s="207"/>
      <c r="L271" s="207"/>
      <c r="M271" s="207"/>
      <c r="N271" s="207"/>
      <c r="O271" s="207"/>
      <c r="P271" s="207"/>
      <c r="Q271" s="173">
        <f t="shared" si="65"/>
        <v>0</v>
      </c>
      <c r="R271" s="173"/>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row>
    <row r="272" spans="1:41" ht="15.75" customHeight="1">
      <c r="A272" s="139" t="s">
        <v>631</v>
      </c>
      <c r="B272" s="168">
        <f>('Pivot Table for Data Exchange'!$K$474)*100</f>
        <v>0</v>
      </c>
      <c r="C272" s="168">
        <f>('Pivot Table for Data Exchange'!$K$477)*100</f>
        <v>0</v>
      </c>
      <c r="D272" s="169">
        <f>SUM(E272:G272)</f>
        <v>0</v>
      </c>
      <c r="E272" s="168">
        <f>('Pivot Table for Data Exchange'!$K$480)*100</f>
        <v>0</v>
      </c>
      <c r="F272" s="168">
        <f>('Pivot Table for Data Exchange'!$K$483)*100</f>
        <v>0</v>
      </c>
      <c r="G272" s="179">
        <f>('Pivot Table for Data Exchange'!$K$486)*100</f>
        <v>0</v>
      </c>
      <c r="H272" s="168">
        <f>('Pivot Table for Data Exchange'!$K$489)*100</f>
        <v>0</v>
      </c>
      <c r="I272" s="139"/>
      <c r="J272" s="207"/>
      <c r="K272" s="207"/>
      <c r="L272" s="207"/>
      <c r="M272" s="207"/>
      <c r="N272" s="207"/>
      <c r="O272" s="207"/>
      <c r="P272" s="207"/>
      <c r="Q272" s="173">
        <f t="shared" si="65"/>
        <v>0</v>
      </c>
      <c r="R272" s="173"/>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row>
    <row r="273" spans="1:41" ht="15.75" customHeight="1">
      <c r="A273" s="139" t="s">
        <v>632</v>
      </c>
      <c r="B273" s="168">
        <f>('Pivot Table for Data Exchange'!$K$510)*100</f>
        <v>0</v>
      </c>
      <c r="C273" s="168">
        <f>('Pivot Table for Data Exchange'!$K$513)*100</f>
        <v>0</v>
      </c>
      <c r="D273" s="169">
        <f t="shared" ref="D273" si="66">SUM(E273:G273)</f>
        <v>0</v>
      </c>
      <c r="E273" s="168">
        <f>('Pivot Table for Data Exchange'!$K$516)*100</f>
        <v>0</v>
      </c>
      <c r="F273" s="168">
        <f>('Pivot Table for Data Exchange'!$K$519)*100</f>
        <v>0</v>
      </c>
      <c r="G273" s="176">
        <f>('Pivot Table for Data Exchange'!$K$522)*100</f>
        <v>0</v>
      </c>
      <c r="H273" s="168">
        <f>('Pivot Table for Data Exchange'!$K$525)*100</f>
        <v>0</v>
      </c>
      <c r="I273" s="139"/>
      <c r="J273" s="207"/>
      <c r="K273" s="207"/>
      <c r="L273" s="207"/>
      <c r="M273" s="207"/>
      <c r="N273" s="207"/>
      <c r="O273" s="207"/>
      <c r="P273" s="207"/>
      <c r="Q273" s="173">
        <f t="shared" si="65"/>
        <v>0</v>
      </c>
      <c r="R273" s="173"/>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row>
    <row r="274" spans="1:41" ht="15.75" customHeight="1">
      <c r="A274" s="145" t="s">
        <v>633</v>
      </c>
      <c r="B274" s="181">
        <f>('Pivot Table for Data Exchange'!$K$546)*100</f>
        <v>56.021602368396707</v>
      </c>
      <c r="C274" s="181">
        <f>('Pivot Table for Data Exchange'!$K$549)*100</f>
        <v>7.1988620593949486</v>
      </c>
      <c r="D274" s="182">
        <f>SUM(E274:G274)</f>
        <v>36.779535572208339</v>
      </c>
      <c r="E274" s="181">
        <f>('Pivot Table for Data Exchange'!$K$552)*100</f>
        <v>36.761032472939213</v>
      </c>
      <c r="F274" s="181">
        <f>('Pivot Table for Data Exchange'!$K$555)*100</f>
        <v>0</v>
      </c>
      <c r="G274" s="183">
        <f>('Pivot Table for Data Exchange'!$K$558)*100</f>
        <v>1.850309926912758E-2</v>
      </c>
      <c r="H274" s="181">
        <f>('Pivot Table for Data Exchange'!$K$561)*100</f>
        <v>0</v>
      </c>
      <c r="I274" s="139"/>
      <c r="J274" s="207"/>
      <c r="K274" s="207"/>
      <c r="L274" s="207"/>
      <c r="M274" s="207"/>
      <c r="N274" s="207"/>
      <c r="O274" s="207"/>
      <c r="P274" s="207"/>
      <c r="Q274" s="173">
        <f t="shared" si="65"/>
        <v>100</v>
      </c>
      <c r="R274" s="173"/>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row>
    <row r="275" spans="1:41" s="186" customFormat="1" ht="12" customHeight="1">
      <c r="A275" s="187" t="s">
        <v>658</v>
      </c>
      <c r="B275" s="188"/>
      <c r="C275" s="188"/>
      <c r="D275" s="189"/>
      <c r="E275" s="188"/>
      <c r="F275" s="189"/>
      <c r="G275" s="189"/>
      <c r="H275" s="188"/>
      <c r="I275" s="197"/>
      <c r="J275" s="188"/>
      <c r="K275" s="188"/>
      <c r="L275" s="189"/>
      <c r="M275" s="188"/>
      <c r="N275" s="189"/>
      <c r="O275" s="189"/>
      <c r="P275" s="188"/>
      <c r="Q275" s="173">
        <f t="shared" si="65"/>
        <v>0</v>
      </c>
      <c r="R275" s="208"/>
      <c r="S275" s="190"/>
      <c r="T275" s="190"/>
      <c r="U275" s="190"/>
      <c r="V275" s="190"/>
      <c r="W275" s="190"/>
      <c r="X275" s="190"/>
      <c r="Y275" s="190"/>
      <c r="Z275" s="190"/>
      <c r="AA275" s="190"/>
      <c r="AB275" s="190"/>
      <c r="AC275" s="190"/>
      <c r="AD275" s="190"/>
      <c r="AE275" s="190"/>
      <c r="AF275" s="190"/>
      <c r="AG275" s="190"/>
      <c r="AH275" s="190"/>
      <c r="AI275" s="190"/>
      <c r="AJ275" s="190"/>
      <c r="AK275" s="190"/>
      <c r="AL275" s="190"/>
      <c r="AM275" s="190"/>
      <c r="AN275" s="190"/>
      <c r="AO275" s="190"/>
    </row>
    <row r="276" spans="1:41" s="186" customFormat="1" ht="23.25" customHeight="1">
      <c r="A276" s="492" t="s">
        <v>675</v>
      </c>
      <c r="B276" s="505"/>
      <c r="C276" s="505"/>
      <c r="D276" s="505"/>
      <c r="E276" s="505"/>
      <c r="F276" s="505"/>
      <c r="G276" s="505"/>
      <c r="H276" s="505"/>
      <c r="I276" s="197"/>
      <c r="P276" s="199"/>
      <c r="Q276" s="173">
        <f t="shared" si="65"/>
        <v>0</v>
      </c>
      <c r="R276" s="209"/>
    </row>
    <row r="277" spans="1:41" s="186" customFormat="1" ht="13.5" customHeight="1">
      <c r="I277" s="197"/>
      <c r="Q277" s="173">
        <f t="shared" si="65"/>
        <v>0</v>
      </c>
      <c r="R277" s="209"/>
    </row>
    <row r="278" spans="1:41" s="186" customFormat="1">
      <c r="B278" s="188"/>
      <c r="C278" s="188"/>
      <c r="D278" s="189"/>
      <c r="E278" s="188"/>
      <c r="F278" s="189"/>
      <c r="G278" s="189"/>
      <c r="H278" s="192" t="s">
        <v>923</v>
      </c>
      <c r="I278" s="213"/>
      <c r="Q278" s="173">
        <f t="shared" si="65"/>
        <v>0</v>
      </c>
      <c r="R278" s="209"/>
    </row>
    <row r="279" spans="1:41" ht="18">
      <c r="A279" s="134" t="s">
        <v>676</v>
      </c>
      <c r="B279" s="135"/>
      <c r="C279" s="135"/>
      <c r="D279" s="135"/>
      <c r="E279" s="135"/>
      <c r="F279" s="135"/>
      <c r="G279" s="135"/>
      <c r="H279" s="135"/>
      <c r="Q279" s="173">
        <f t="shared" si="65"/>
        <v>0</v>
      </c>
    </row>
    <row r="280" spans="1:41" ht="13">
      <c r="A280" s="140"/>
      <c r="B280" s="136"/>
      <c r="C280" s="136"/>
      <c r="D280" s="136"/>
      <c r="E280" s="136"/>
      <c r="F280" s="136"/>
      <c r="G280" s="136"/>
      <c r="H280" s="136"/>
      <c r="Q280" s="173">
        <f t="shared" si="65"/>
        <v>0</v>
      </c>
    </row>
    <row r="281" spans="1:41" ht="15.5">
      <c r="A281" s="142" t="s">
        <v>639</v>
      </c>
      <c r="B281" s="136"/>
      <c r="C281" s="136"/>
      <c r="D281" s="136"/>
      <c r="E281" s="136"/>
      <c r="F281" s="136"/>
      <c r="G281" s="136"/>
      <c r="H281" s="136"/>
      <c r="Q281" s="173">
        <f t="shared" si="65"/>
        <v>0</v>
      </c>
    </row>
    <row r="282" spans="1:41" ht="15.5">
      <c r="A282" s="142" t="s">
        <v>755</v>
      </c>
      <c r="B282" s="136"/>
      <c r="C282" s="136"/>
      <c r="D282" s="136"/>
      <c r="E282" s="136"/>
      <c r="F282" s="136"/>
      <c r="G282" s="136"/>
      <c r="H282" s="136"/>
      <c r="Q282" s="173">
        <f t="shared" si="65"/>
        <v>0</v>
      </c>
    </row>
    <row r="283" spans="1:41">
      <c r="A283" s="145"/>
      <c r="B283" s="146"/>
      <c r="C283" s="146"/>
      <c r="D283" s="146"/>
      <c r="E283" s="146"/>
      <c r="F283" s="146"/>
      <c r="G283" s="146"/>
      <c r="H283" s="146"/>
      <c r="Q283" s="173">
        <f t="shared" si="65"/>
        <v>0</v>
      </c>
    </row>
    <row r="284" spans="1:41">
      <c r="A284" s="150"/>
      <c r="B284" s="151" t="s">
        <v>641</v>
      </c>
      <c r="C284" s="151"/>
      <c r="D284" s="151"/>
      <c r="E284" s="151"/>
      <c r="F284" s="151"/>
      <c r="G284" s="151"/>
      <c r="H284" s="152"/>
      <c r="Q284" s="173">
        <f t="shared" si="65"/>
        <v>0</v>
      </c>
    </row>
    <row r="285" spans="1:41">
      <c r="A285" s="150"/>
      <c r="B285" s="151" t="s">
        <v>642</v>
      </c>
      <c r="C285" s="151"/>
      <c r="D285" s="487" t="s">
        <v>643</v>
      </c>
      <c r="E285" s="485"/>
      <c r="F285" s="485"/>
      <c r="G285" s="485"/>
      <c r="H285" s="158" t="s">
        <v>533</v>
      </c>
      <c r="Q285" s="173">
        <f t="shared" si="65"/>
        <v>0</v>
      </c>
    </row>
    <row r="286" spans="1:41" ht="34.5">
      <c r="A286" s="150"/>
      <c r="B286" s="159" t="s">
        <v>644</v>
      </c>
      <c r="C286" s="160" t="s">
        <v>645</v>
      </c>
      <c r="D286" s="161" t="s">
        <v>646</v>
      </c>
      <c r="E286" s="162" t="s">
        <v>8</v>
      </c>
      <c r="F286" s="159" t="s">
        <v>647</v>
      </c>
      <c r="G286" s="163" t="s">
        <v>656</v>
      </c>
      <c r="H286" s="164" t="s">
        <v>649</v>
      </c>
      <c r="Q286" s="173">
        <f t="shared" si="65"/>
        <v>0</v>
      </c>
    </row>
    <row r="287" spans="1:41" ht="15.75" customHeight="1">
      <c r="A287" s="194" t="s">
        <v>618</v>
      </c>
      <c r="B287" s="168">
        <f>('Pivot Table for Data Exchange'!$L$6)*100</f>
        <v>52.044125720948401</v>
      </c>
      <c r="C287" s="168">
        <f>('Pivot Table for Data Exchange'!$L$9)*100</f>
        <v>12.231737388945175</v>
      </c>
      <c r="D287" s="169">
        <f>SUM(E287:G287)</f>
        <v>35.724136890106429</v>
      </c>
      <c r="E287" s="168">
        <f>('Pivot Table for Data Exchange'!$L$12)*100</f>
        <v>35.352649184670334</v>
      </c>
      <c r="F287" s="168">
        <f>('Pivot Table for Data Exchange'!$L$15)*100</f>
        <v>0.25338140599323433</v>
      </c>
      <c r="G287" s="172">
        <f>('Pivot Table for Data Exchange'!$L$18)*100</f>
        <v>0.11810629944286279</v>
      </c>
      <c r="H287" s="168">
        <f>('Pivot Table for Data Exchange'!$L$21)*100</f>
        <v>0</v>
      </c>
      <c r="I287" s="139"/>
      <c r="J287" s="207"/>
      <c r="K287" s="207"/>
      <c r="L287" s="207"/>
      <c r="M287" s="207"/>
      <c r="N287" s="207"/>
      <c r="O287" s="207"/>
      <c r="P287" s="207"/>
      <c r="Q287" s="173">
        <f t="shared" si="65"/>
        <v>100</v>
      </c>
      <c r="R287" s="173"/>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row>
    <row r="288" spans="1:41" ht="15.75" customHeight="1">
      <c r="A288" s="139" t="s">
        <v>619</v>
      </c>
      <c r="B288" s="168">
        <f>('Pivot Table for Data Exchange'!$L$42)*100</f>
        <v>59.619294772325972</v>
      </c>
      <c r="C288" s="168">
        <f>('Pivot Table for Data Exchange'!$L$45)*100</f>
        <v>9.6206324575953772</v>
      </c>
      <c r="D288" s="169">
        <f t="shared" ref="D288:D290" si="67">SUM(E288:G288)</f>
        <v>30.760072770078654</v>
      </c>
      <c r="E288" s="168">
        <f>('Pivot Table for Data Exchange'!$L$48)*100</f>
        <v>30.760072770078654</v>
      </c>
      <c r="F288" s="180">
        <f>('Pivot Table for Data Exchange'!$L$51)*100</f>
        <v>0</v>
      </c>
      <c r="G288" s="176">
        <f>('Pivot Table for Data Exchange'!$L$54)*100</f>
        <v>0</v>
      </c>
      <c r="H288" s="168">
        <f>('Pivot Table for Data Exchange'!$L$57)*100</f>
        <v>0</v>
      </c>
      <c r="I288" s="139"/>
      <c r="J288" s="207"/>
      <c r="K288" s="207"/>
      <c r="L288" s="207"/>
      <c r="M288" s="207"/>
      <c r="N288" s="207"/>
      <c r="O288" s="207"/>
      <c r="P288" s="207"/>
      <c r="Q288" s="173">
        <f t="shared" si="65"/>
        <v>100</v>
      </c>
      <c r="R288" s="173"/>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row>
    <row r="289" spans="1:41" ht="15.75" customHeight="1">
      <c r="A289" s="139" t="s">
        <v>620</v>
      </c>
      <c r="B289" s="168">
        <f>('Pivot Table for Data Exchange'!$L$78)*100</f>
        <v>0</v>
      </c>
      <c r="C289" s="168">
        <f>('Pivot Table for Data Exchange'!$L$81)*100</f>
        <v>0</v>
      </c>
      <c r="D289" s="169">
        <f t="shared" si="67"/>
        <v>0</v>
      </c>
      <c r="E289" s="168">
        <f>('Pivot Table for Data Exchange'!$L$84)*100</f>
        <v>0</v>
      </c>
      <c r="F289" s="168">
        <f>('Pivot Table for Data Exchange'!$L$87)*100</f>
        <v>0</v>
      </c>
      <c r="G289" s="176">
        <f>('Pivot Table for Data Exchange'!$L$90)*100</f>
        <v>0</v>
      </c>
      <c r="H289" s="168">
        <f>('Pivot Table for Data Exchange'!$L$93)*100</f>
        <v>0</v>
      </c>
      <c r="I289" s="139"/>
      <c r="J289" s="207"/>
      <c r="K289" s="207"/>
      <c r="L289" s="207"/>
      <c r="M289" s="207"/>
      <c r="N289" s="207"/>
      <c r="O289" s="207"/>
      <c r="P289" s="207"/>
      <c r="Q289" s="173">
        <f t="shared" si="65"/>
        <v>0</v>
      </c>
      <c r="R289" s="173"/>
      <c r="S289" s="174"/>
      <c r="T289" s="148"/>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row>
    <row r="290" spans="1:41" ht="15.75" customHeight="1">
      <c r="A290" s="139" t="s">
        <v>657</v>
      </c>
      <c r="B290" s="168">
        <f>('Pivot Table for Data Exchange'!$L$114)*100</f>
        <v>61.081755718791221</v>
      </c>
      <c r="C290" s="168">
        <f>('Pivot Table for Data Exchange'!$L$117)*100</f>
        <v>4.5038322070702481</v>
      </c>
      <c r="D290" s="169">
        <f t="shared" si="67"/>
        <v>34.414412074138532</v>
      </c>
      <c r="E290" s="168">
        <f>('Pivot Table for Data Exchange'!$L$120)*100</f>
        <v>34.414412074138532</v>
      </c>
      <c r="F290" s="168">
        <f>('Pivot Table for Data Exchange'!$L$123)*100</f>
        <v>0</v>
      </c>
      <c r="G290" s="175">
        <f>('Pivot Table for Data Exchange'!$L$126)*100</f>
        <v>0</v>
      </c>
      <c r="H290" s="180">
        <f>('Pivot Table for Data Exchange'!$L$129)*100</f>
        <v>0</v>
      </c>
      <c r="I290" s="139"/>
      <c r="J290" s="207"/>
      <c r="K290" s="207"/>
      <c r="L290" s="207"/>
      <c r="M290" s="207"/>
      <c r="N290" s="207"/>
      <c r="O290" s="207"/>
      <c r="P290" s="207"/>
      <c r="Q290" s="173">
        <f t="shared" si="65"/>
        <v>100</v>
      </c>
      <c r="R290" s="173"/>
      <c r="S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row>
    <row r="291" spans="1:41" ht="15.75" customHeight="1">
      <c r="B291" s="168"/>
      <c r="C291" s="168"/>
      <c r="D291" s="169"/>
      <c r="E291" s="168"/>
      <c r="F291" s="168"/>
      <c r="G291" s="176"/>
      <c r="H291" s="168"/>
      <c r="I291" s="139"/>
      <c r="J291" s="207"/>
      <c r="K291" s="207"/>
      <c r="L291" s="207"/>
      <c r="M291" s="207"/>
      <c r="N291" s="207"/>
      <c r="O291" s="207"/>
      <c r="P291" s="207"/>
      <c r="Q291" s="173">
        <f t="shared" si="65"/>
        <v>0</v>
      </c>
      <c r="R291" s="173"/>
      <c r="S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row>
    <row r="292" spans="1:41" ht="15.75" customHeight="1">
      <c r="A292" s="139" t="s">
        <v>622</v>
      </c>
      <c r="B292" s="168">
        <f>('Pivot Table for Data Exchange'!$L$150)*100</f>
        <v>0</v>
      </c>
      <c r="C292" s="168">
        <f>('Pivot Table for Data Exchange'!$L$153)*100</f>
        <v>0</v>
      </c>
      <c r="D292" s="169">
        <f t="shared" ref="D292:D295" si="68">SUM(E292:G292)</f>
        <v>0</v>
      </c>
      <c r="E292" s="168">
        <f>('Pivot Table for Data Exchange'!$L$156)*100</f>
        <v>0</v>
      </c>
      <c r="F292" s="168">
        <f>('Pivot Table for Data Exchange'!$L$159)*100</f>
        <v>0</v>
      </c>
      <c r="G292" s="176">
        <f>('Pivot Table for Data Exchange'!$L$162)*100</f>
        <v>0</v>
      </c>
      <c r="H292" s="168">
        <f>('Pivot Table for Data Exchange'!$L$165)*100</f>
        <v>0</v>
      </c>
      <c r="I292" s="139"/>
      <c r="J292" s="207"/>
      <c r="K292" s="207"/>
      <c r="L292" s="207"/>
      <c r="M292" s="207"/>
      <c r="N292" s="207"/>
      <c r="O292" s="207"/>
      <c r="P292" s="207"/>
      <c r="Q292" s="173">
        <f t="shared" si="65"/>
        <v>0</v>
      </c>
      <c r="R292" s="173"/>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row>
    <row r="293" spans="1:41" ht="15.75" customHeight="1">
      <c r="A293" s="139" t="s">
        <v>623</v>
      </c>
      <c r="B293" s="168">
        <f>('Pivot Table for Data Exchange'!$L$186)*100</f>
        <v>58.854800461651976</v>
      </c>
      <c r="C293" s="168">
        <f>('Pivot Table for Data Exchange'!$L$189)*100</f>
        <v>5.7074288077088839</v>
      </c>
      <c r="D293" s="169">
        <f t="shared" si="68"/>
        <v>35.437770730639137</v>
      </c>
      <c r="E293" s="168">
        <f>('Pivot Table for Data Exchange'!$L$192)*100</f>
        <v>35.437770730639137</v>
      </c>
      <c r="F293" s="180">
        <f>('Pivot Table for Data Exchange'!$L$195)*100</f>
        <v>0</v>
      </c>
      <c r="G293" s="175">
        <f>('Pivot Table for Data Exchange'!$L$198)*100</f>
        <v>0</v>
      </c>
      <c r="H293" s="168">
        <f>('Pivot Table for Data Exchange'!$L$201)*100</f>
        <v>0</v>
      </c>
      <c r="I293" s="139"/>
      <c r="J293" s="207"/>
      <c r="K293" s="207"/>
      <c r="L293" s="207"/>
      <c r="M293" s="207"/>
      <c r="N293" s="207"/>
      <c r="O293" s="207"/>
      <c r="P293" s="207"/>
      <c r="Q293" s="173">
        <f t="shared" si="65"/>
        <v>100</v>
      </c>
      <c r="R293" s="173"/>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row>
    <row r="294" spans="1:41" ht="15.75" customHeight="1">
      <c r="A294" s="139" t="s">
        <v>624</v>
      </c>
      <c r="B294" s="168">
        <f>('Pivot Table for Data Exchange'!$L$222)*100</f>
        <v>78.93508204169791</v>
      </c>
      <c r="C294" s="168">
        <f>('Pivot Table for Data Exchange'!$L$225)*100</f>
        <v>0</v>
      </c>
      <c r="D294" s="169">
        <f t="shared" si="68"/>
        <v>21.06491795830209</v>
      </c>
      <c r="E294" s="168">
        <f>('Pivot Table for Data Exchange'!$L$228)*100</f>
        <v>21.06491795830209</v>
      </c>
      <c r="F294" s="168">
        <f>('Pivot Table for Data Exchange'!$L$231)*100</f>
        <v>0</v>
      </c>
      <c r="G294" s="176">
        <f>('Pivot Table for Data Exchange'!$L$234)*100</f>
        <v>0</v>
      </c>
      <c r="H294" s="168">
        <f>('Pivot Table for Data Exchange'!$L$237)*100</f>
        <v>0</v>
      </c>
      <c r="I294" s="139"/>
      <c r="J294" s="207"/>
      <c r="K294" s="207"/>
      <c r="L294" s="207"/>
      <c r="M294" s="207"/>
      <c r="N294" s="207"/>
      <c r="O294" s="207"/>
      <c r="P294" s="207"/>
      <c r="Q294" s="173">
        <f t="shared" si="65"/>
        <v>100</v>
      </c>
      <c r="R294" s="173"/>
      <c r="S294" s="174"/>
      <c r="T294" s="148"/>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row>
    <row r="295" spans="1:41" ht="15.75" customHeight="1">
      <c r="A295" s="139" t="s">
        <v>625</v>
      </c>
      <c r="B295" s="168">
        <f>('Pivot Table for Data Exchange'!$L$258)*100</f>
        <v>63.504526077580948</v>
      </c>
      <c r="C295" s="168">
        <f>('Pivot Table for Data Exchange'!$L$261)*100</f>
        <v>18.556019731633313</v>
      </c>
      <c r="D295" s="169">
        <f t="shared" si="68"/>
        <v>17.939454190785749</v>
      </c>
      <c r="E295" s="168">
        <f>('Pivot Table for Data Exchange'!$L$264)*100</f>
        <v>17.923576111104804</v>
      </c>
      <c r="F295" s="168">
        <f>('Pivot Table for Data Exchange'!$L$267)*100</f>
        <v>1.5878079680944741E-2</v>
      </c>
      <c r="G295" s="175">
        <f>('Pivot Table for Data Exchange'!$L$270)*100</f>
        <v>0</v>
      </c>
      <c r="H295" s="168">
        <f>('Pivot Table for Data Exchange'!$L$273)*100</f>
        <v>0</v>
      </c>
      <c r="I295" s="139"/>
      <c r="J295" s="207"/>
      <c r="K295" s="207"/>
      <c r="L295" s="207"/>
      <c r="M295" s="207"/>
      <c r="N295" s="207"/>
      <c r="O295" s="207"/>
      <c r="P295" s="207"/>
      <c r="Q295" s="173">
        <f t="shared" si="65"/>
        <v>100.00000000000001</v>
      </c>
      <c r="R295" s="173"/>
      <c r="S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row>
    <row r="296" spans="1:41" ht="9.75" customHeight="1">
      <c r="B296" s="168"/>
      <c r="C296" s="168"/>
      <c r="D296" s="169"/>
      <c r="E296" s="168"/>
      <c r="F296" s="168"/>
      <c r="G296" s="176"/>
      <c r="H296" s="168"/>
      <c r="I296" s="139"/>
      <c r="J296" s="207"/>
      <c r="K296" s="207"/>
      <c r="L296" s="207"/>
      <c r="M296" s="207"/>
      <c r="N296" s="207"/>
      <c r="O296" s="207"/>
      <c r="P296" s="207"/>
      <c r="Q296" s="173">
        <f t="shared" si="65"/>
        <v>0</v>
      </c>
      <c r="R296" s="173"/>
      <c r="S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row>
    <row r="297" spans="1:41" ht="15.75" customHeight="1">
      <c r="A297" s="139" t="s">
        <v>672</v>
      </c>
      <c r="B297" s="168">
        <f>('Pivot Table for Data Exchange'!$L$294)*100</f>
        <v>0</v>
      </c>
      <c r="C297" s="168">
        <f>('Pivot Table for Data Exchange'!$L$297)*100</f>
        <v>0</v>
      </c>
      <c r="D297" s="169">
        <f t="shared" ref="D297:D299" si="69">SUM(E297:G297)</f>
        <v>0</v>
      </c>
      <c r="E297" s="168">
        <f>('Pivot Table for Data Exchange'!$L$300)*100</f>
        <v>0</v>
      </c>
      <c r="F297" s="168">
        <f>('Pivot Table for Data Exchange'!$L$303)*100</f>
        <v>0</v>
      </c>
      <c r="G297" s="176">
        <f>('Pivot Table for Data Exchange'!$L$306)*100</f>
        <v>0</v>
      </c>
      <c r="H297" s="168">
        <f>('Pivot Table for Data Exchange'!$L$309)*100</f>
        <v>0</v>
      </c>
      <c r="I297" s="214"/>
      <c r="J297" s="207"/>
      <c r="K297" s="207"/>
      <c r="L297" s="207"/>
      <c r="M297" s="207"/>
      <c r="N297" s="207"/>
      <c r="O297" s="207"/>
      <c r="P297" s="207"/>
      <c r="Q297" s="173">
        <f t="shared" si="65"/>
        <v>0</v>
      </c>
      <c r="R297" s="173"/>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row>
    <row r="298" spans="1:41" ht="15.75" customHeight="1">
      <c r="A298" s="139" t="s">
        <v>627</v>
      </c>
      <c r="B298" s="168">
        <f>('Pivot Table for Data Exchange'!$L$330)*100</f>
        <v>53.36019257184148</v>
      </c>
      <c r="C298" s="168">
        <f>('Pivot Table for Data Exchange'!$L$333)*100</f>
        <v>2.7691838419148307</v>
      </c>
      <c r="D298" s="169">
        <f t="shared" si="69"/>
        <v>43.870623586243688</v>
      </c>
      <c r="E298" s="168">
        <f>('Pivot Table for Data Exchange'!$L$336)*100</f>
        <v>43.848924278218441</v>
      </c>
      <c r="F298" s="168">
        <f>('Pivot Table for Data Exchange'!$L$339)*100</f>
        <v>2.1699308025246385E-2</v>
      </c>
      <c r="G298" s="176">
        <f>('Pivot Table for Data Exchange'!$L$342)*100</f>
        <v>0</v>
      </c>
      <c r="H298" s="168">
        <f>('Pivot Table for Data Exchange'!$L$345)*100</f>
        <v>0</v>
      </c>
      <c r="I298" s="139"/>
      <c r="J298" s="207"/>
      <c r="K298" s="207"/>
      <c r="L298" s="207"/>
      <c r="M298" s="207"/>
      <c r="N298" s="207"/>
      <c r="O298" s="207"/>
      <c r="P298" s="207"/>
      <c r="Q298" s="173">
        <f t="shared" si="65"/>
        <v>100</v>
      </c>
      <c r="R298" s="173"/>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row>
    <row r="299" spans="1:41" ht="15.75" customHeight="1">
      <c r="A299" s="139" t="s">
        <v>628</v>
      </c>
      <c r="B299" s="168">
        <f>('Pivot Table for Data Exchange'!$L$366)*100</f>
        <v>0</v>
      </c>
      <c r="C299" s="168">
        <f>('Pivot Table for Data Exchange'!$L$369)*100</f>
        <v>0</v>
      </c>
      <c r="D299" s="169">
        <f t="shared" si="69"/>
        <v>0</v>
      </c>
      <c r="E299" s="168">
        <f>('Pivot Table for Data Exchange'!$L$372)*100</f>
        <v>0</v>
      </c>
      <c r="F299" s="168">
        <f>('Pivot Table for Data Exchange'!$L$375)*100</f>
        <v>0</v>
      </c>
      <c r="G299" s="176">
        <f>('Pivot Table for Data Exchange'!$L$378)*100</f>
        <v>0</v>
      </c>
      <c r="H299" s="180">
        <f>('Pivot Table for Data Exchange'!$L$381)*100</f>
        <v>0</v>
      </c>
      <c r="I299" s="139"/>
      <c r="J299" s="207"/>
      <c r="K299" s="207"/>
      <c r="L299" s="207"/>
      <c r="M299" s="207"/>
      <c r="N299" s="207"/>
      <c r="O299" s="207"/>
      <c r="P299" s="207"/>
      <c r="Q299" s="173">
        <f t="shared" si="65"/>
        <v>0</v>
      </c>
      <c r="R299" s="173"/>
      <c r="S299" s="174"/>
      <c r="T299" s="148"/>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row>
    <row r="300" spans="1:41" ht="15.75" customHeight="1">
      <c r="A300" s="139" t="s">
        <v>629</v>
      </c>
      <c r="B300" s="168">
        <f>('Pivot Table for Data Exchange'!$L$402)*100</f>
        <v>55.189656037202731</v>
      </c>
      <c r="C300" s="168">
        <f>('Pivot Table for Data Exchange'!$L$405)*100</f>
        <v>7.1948915517616117</v>
      </c>
      <c r="D300" s="169">
        <f>SUM(E300:G300)</f>
        <v>37.615452411035662</v>
      </c>
      <c r="E300" s="168">
        <f>('Pivot Table for Data Exchange'!$L$408)*100</f>
        <v>37.615452411035662</v>
      </c>
      <c r="F300" s="168">
        <f>('Pivot Table for Data Exchange'!$L$411)*100</f>
        <v>0</v>
      </c>
      <c r="G300" s="176">
        <f>('Pivot Table for Data Exchange'!$L$414)*100</f>
        <v>0</v>
      </c>
      <c r="H300" s="168">
        <f>('Pivot Table for Data Exchange'!$L$417)*100</f>
        <v>0</v>
      </c>
      <c r="I300" s="139"/>
      <c r="J300" s="207"/>
      <c r="K300" s="207"/>
      <c r="L300" s="207"/>
      <c r="M300" s="207"/>
      <c r="N300" s="207"/>
      <c r="O300" s="207"/>
      <c r="P300" s="207"/>
      <c r="Q300" s="173">
        <f t="shared" si="65"/>
        <v>100</v>
      </c>
      <c r="R300" s="173"/>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row>
    <row r="301" spans="1:41" ht="11.25" customHeight="1">
      <c r="B301" s="168"/>
      <c r="C301" s="168"/>
      <c r="D301" s="169"/>
      <c r="E301" s="168"/>
      <c r="F301" s="168"/>
      <c r="G301" s="176"/>
      <c r="H301" s="168"/>
      <c r="I301" s="139"/>
      <c r="J301" s="207"/>
      <c r="K301" s="207"/>
      <c r="L301" s="207"/>
      <c r="M301" s="207"/>
      <c r="N301" s="207"/>
      <c r="O301" s="207"/>
      <c r="P301" s="207"/>
      <c r="Q301" s="173">
        <f t="shared" si="65"/>
        <v>0</v>
      </c>
      <c r="R301" s="173"/>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row>
    <row r="302" spans="1:41" ht="15.75" customHeight="1">
      <c r="A302" s="139" t="s">
        <v>630</v>
      </c>
      <c r="B302" s="168">
        <f>('Pivot Table for Data Exchange'!$L$438)*100</f>
        <v>39.195314849067437</v>
      </c>
      <c r="C302" s="168">
        <f>('Pivot Table for Data Exchange'!$L$441)*100</f>
        <v>30.998920283186486</v>
      </c>
      <c r="D302" s="169">
        <f>SUM(E302:G302)</f>
        <v>29.667383440697577</v>
      </c>
      <c r="E302" s="168">
        <f>('Pivot Table for Data Exchange'!$L$444)*100</f>
        <v>24.871641260671883</v>
      </c>
      <c r="F302" s="168">
        <f>('Pivot Table for Data Exchange'!$L$447)*100</f>
        <v>3.47377244854261E-2</v>
      </c>
      <c r="G302" s="176">
        <f>('Pivot Table for Data Exchange'!$L$450)*100</f>
        <v>4.7610044555402684</v>
      </c>
      <c r="H302" s="168">
        <f>('Pivot Table for Data Exchange'!$L$453)*100</f>
        <v>0.1383814270485007</v>
      </c>
      <c r="I302" s="139"/>
      <c r="J302" s="207"/>
      <c r="K302" s="207"/>
      <c r="L302" s="207"/>
      <c r="M302" s="207"/>
      <c r="N302" s="207"/>
      <c r="O302" s="207"/>
      <c r="P302" s="207"/>
      <c r="Q302" s="173">
        <f t="shared" si="65"/>
        <v>100</v>
      </c>
      <c r="R302" s="173"/>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row>
    <row r="303" spans="1:41" ht="15.75" customHeight="1">
      <c r="A303" s="139" t="s">
        <v>631</v>
      </c>
      <c r="B303" s="168">
        <f>('Pivot Table for Data Exchange'!$L$474)*100</f>
        <v>0</v>
      </c>
      <c r="C303" s="168">
        <f>('Pivot Table for Data Exchange'!$L$477)*100</f>
        <v>0</v>
      </c>
      <c r="D303" s="169">
        <f>SUM(E303:G303)</f>
        <v>0</v>
      </c>
      <c r="E303" s="168">
        <f>('Pivot Table for Data Exchange'!$L$480)*100</f>
        <v>0</v>
      </c>
      <c r="F303" s="168">
        <f>('Pivot Table for Data Exchange'!$L$483)*100</f>
        <v>0</v>
      </c>
      <c r="G303" s="176">
        <f>('Pivot Table for Data Exchange'!$L$486)*100</f>
        <v>0</v>
      </c>
      <c r="H303" s="168">
        <f>('Pivot Table for Data Exchange'!$L$489)*100</f>
        <v>0</v>
      </c>
      <c r="I303" s="139"/>
      <c r="J303" s="207"/>
      <c r="K303" s="207"/>
      <c r="L303" s="207"/>
      <c r="M303" s="207"/>
      <c r="N303" s="207"/>
      <c r="O303" s="207"/>
      <c r="P303" s="207"/>
      <c r="Q303" s="173">
        <f t="shared" si="65"/>
        <v>0</v>
      </c>
      <c r="R303" s="173"/>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row>
    <row r="304" spans="1:41" ht="15.75" customHeight="1">
      <c r="A304" s="139" t="s">
        <v>632</v>
      </c>
      <c r="B304" s="168">
        <f>('Pivot Table for Data Exchange'!$L$510)*100</f>
        <v>60.373504971842621</v>
      </c>
      <c r="C304" s="168">
        <f>('Pivot Table for Data Exchange'!$L$513)*100</f>
        <v>11.204270009764009</v>
      </c>
      <c r="D304" s="169">
        <f t="shared" ref="D304" si="70">SUM(E304:G304)</f>
        <v>28.422225018393373</v>
      </c>
      <c r="E304" s="168">
        <f>('Pivot Table for Data Exchange'!$L$516)*100</f>
        <v>28.387553717164604</v>
      </c>
      <c r="F304" s="168">
        <f>('Pivot Table for Data Exchange'!$L$519)*100</f>
        <v>3.4671301228770691E-2</v>
      </c>
      <c r="G304" s="176">
        <f>('Pivot Table for Data Exchange'!$L$522)*100</f>
        <v>0</v>
      </c>
      <c r="H304" s="168">
        <f>('Pivot Table for Data Exchange'!$L$525)*100</f>
        <v>0</v>
      </c>
      <c r="I304" s="139"/>
      <c r="J304" s="207"/>
      <c r="K304" s="207"/>
      <c r="L304" s="207"/>
      <c r="M304" s="207"/>
      <c r="N304" s="207"/>
      <c r="O304" s="207"/>
      <c r="P304" s="207"/>
      <c r="Q304" s="173">
        <f t="shared" si="65"/>
        <v>100.00000000000001</v>
      </c>
      <c r="R304" s="173"/>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row>
    <row r="305" spans="1:41" ht="15.75" customHeight="1">
      <c r="A305" s="145" t="s">
        <v>633</v>
      </c>
      <c r="B305" s="181">
        <f>('Pivot Table for Data Exchange'!$L$546)*100</f>
        <v>0</v>
      </c>
      <c r="C305" s="181">
        <f>('Pivot Table for Data Exchange'!$L$549)*100</f>
        <v>0</v>
      </c>
      <c r="D305" s="182">
        <f>SUM(E305:G305)</f>
        <v>0</v>
      </c>
      <c r="E305" s="181">
        <f>('Pivot Table for Data Exchange'!$L$552)*100</f>
        <v>0</v>
      </c>
      <c r="F305" s="181">
        <f>('Pivot Table for Data Exchange'!$L$555)*100</f>
        <v>0</v>
      </c>
      <c r="G305" s="183">
        <f>('Pivot Table for Data Exchange'!$L$558)*100</f>
        <v>0</v>
      </c>
      <c r="H305" s="181">
        <f>('Pivot Table for Data Exchange'!$L$561)*100</f>
        <v>0</v>
      </c>
      <c r="I305" s="139"/>
      <c r="J305" s="207"/>
      <c r="K305" s="207"/>
      <c r="L305" s="207"/>
      <c r="M305" s="207"/>
      <c r="N305" s="207"/>
      <c r="O305" s="207"/>
      <c r="P305" s="207"/>
      <c r="Q305" s="173">
        <f t="shared" si="65"/>
        <v>0</v>
      </c>
      <c r="R305" s="173"/>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row>
    <row r="306" spans="1:41" s="186" customFormat="1" ht="13.5" customHeight="1">
      <c r="A306" s="187" t="s">
        <v>658</v>
      </c>
      <c r="B306" s="188"/>
      <c r="C306" s="188"/>
      <c r="D306" s="189"/>
      <c r="E306" s="188"/>
      <c r="F306" s="189"/>
      <c r="G306" s="189"/>
      <c r="H306" s="188"/>
      <c r="I306" s="197"/>
      <c r="J306" s="188"/>
      <c r="K306" s="188"/>
      <c r="L306" s="189"/>
      <c r="M306" s="188"/>
      <c r="N306" s="189"/>
      <c r="O306" s="189"/>
      <c r="P306" s="188"/>
      <c r="Q306" s="173">
        <f t="shared" si="65"/>
        <v>0</v>
      </c>
      <c r="R306" s="208"/>
      <c r="S306" s="190"/>
      <c r="T306" s="190"/>
      <c r="U306" s="190"/>
      <c r="V306" s="190"/>
      <c r="W306" s="190"/>
      <c r="X306" s="190"/>
      <c r="Y306" s="190"/>
      <c r="Z306" s="190"/>
      <c r="AA306" s="190"/>
      <c r="AB306" s="190"/>
      <c r="AC306" s="190"/>
      <c r="AD306" s="190"/>
      <c r="AE306" s="190"/>
      <c r="AF306" s="190"/>
      <c r="AG306" s="190"/>
      <c r="AH306" s="190"/>
      <c r="AI306" s="190"/>
      <c r="AJ306" s="190"/>
      <c r="AK306" s="190"/>
      <c r="AL306" s="190"/>
      <c r="AM306" s="190"/>
      <c r="AN306" s="190"/>
      <c r="AO306" s="190"/>
    </row>
    <row r="307" spans="1:41" s="186" customFormat="1" ht="24" customHeight="1">
      <c r="A307" s="492" t="s">
        <v>673</v>
      </c>
      <c r="B307" s="505"/>
      <c r="C307" s="505"/>
      <c r="D307" s="505"/>
      <c r="E307" s="505"/>
      <c r="F307" s="505"/>
      <c r="G307" s="505"/>
      <c r="H307" s="505"/>
      <c r="I307" s="197"/>
      <c r="P307" s="199"/>
      <c r="Q307" s="173">
        <f t="shared" si="65"/>
        <v>0</v>
      </c>
      <c r="R307" s="209"/>
    </row>
    <row r="308" spans="1:41" s="186" customFormat="1" ht="13.5" customHeight="1">
      <c r="A308" s="197"/>
      <c r="I308" s="197"/>
      <c r="Q308" s="173">
        <f t="shared" si="65"/>
        <v>0</v>
      </c>
      <c r="R308" s="209"/>
    </row>
    <row r="309" spans="1:41" s="186" customFormat="1">
      <c r="H309" s="192" t="s">
        <v>923</v>
      </c>
      <c r="I309" s="213"/>
      <c r="Q309" s="173">
        <f t="shared" si="65"/>
        <v>0</v>
      </c>
      <c r="R309" s="209"/>
    </row>
    <row r="310" spans="1:41" ht="18">
      <c r="A310" s="134" t="s">
        <v>677</v>
      </c>
      <c r="B310" s="135"/>
      <c r="C310" s="135"/>
      <c r="D310" s="135"/>
      <c r="E310" s="135"/>
      <c r="F310" s="135"/>
      <c r="G310" s="135"/>
      <c r="H310" s="135"/>
      <c r="Q310" s="173">
        <f t="shared" si="65"/>
        <v>0</v>
      </c>
    </row>
    <row r="311" spans="1:41" ht="13">
      <c r="A311" s="140"/>
      <c r="B311" s="136"/>
      <c r="C311" s="136"/>
      <c r="D311" s="136"/>
      <c r="E311" s="136"/>
      <c r="F311" s="136"/>
      <c r="G311" s="136"/>
      <c r="H311" s="136"/>
      <c r="Q311" s="173">
        <f t="shared" si="65"/>
        <v>0</v>
      </c>
    </row>
    <row r="312" spans="1:41" ht="15.5">
      <c r="A312" s="142" t="s">
        <v>639</v>
      </c>
      <c r="B312" s="136"/>
      <c r="C312" s="136"/>
      <c r="D312" s="136"/>
      <c r="E312" s="136"/>
      <c r="F312" s="136"/>
      <c r="G312" s="136"/>
      <c r="H312" s="136"/>
      <c r="Q312" s="173">
        <f t="shared" si="65"/>
        <v>0</v>
      </c>
    </row>
    <row r="313" spans="1:41" ht="15.5">
      <c r="A313" s="142" t="s">
        <v>756</v>
      </c>
      <c r="B313" s="136"/>
      <c r="C313" s="136"/>
      <c r="D313" s="136"/>
      <c r="E313" s="136"/>
      <c r="F313" s="136"/>
      <c r="G313" s="136"/>
      <c r="H313" s="136"/>
      <c r="Q313" s="173">
        <f t="shared" si="65"/>
        <v>0</v>
      </c>
    </row>
    <row r="314" spans="1:41">
      <c r="A314" s="145"/>
      <c r="B314" s="146"/>
      <c r="C314" s="146"/>
      <c r="D314" s="146"/>
      <c r="E314" s="146"/>
      <c r="F314" s="146"/>
      <c r="G314" s="146"/>
      <c r="H314" s="146"/>
      <c r="Q314" s="173">
        <f t="shared" si="65"/>
        <v>0</v>
      </c>
    </row>
    <row r="315" spans="1:41">
      <c r="A315" s="150"/>
      <c r="B315" s="151" t="s">
        <v>641</v>
      </c>
      <c r="C315" s="151"/>
      <c r="D315" s="151"/>
      <c r="E315" s="151"/>
      <c r="F315" s="151"/>
      <c r="G315" s="151"/>
      <c r="H315" s="152"/>
      <c r="Q315" s="173">
        <f t="shared" si="65"/>
        <v>0</v>
      </c>
    </row>
    <row r="316" spans="1:41">
      <c r="A316" s="150"/>
      <c r="B316" s="151" t="s">
        <v>642</v>
      </c>
      <c r="C316" s="151"/>
      <c r="D316" s="487" t="s">
        <v>643</v>
      </c>
      <c r="E316" s="485"/>
      <c r="F316" s="485"/>
      <c r="G316" s="485"/>
      <c r="H316" s="158" t="s">
        <v>533</v>
      </c>
      <c r="Q316" s="173">
        <f t="shared" si="65"/>
        <v>0</v>
      </c>
    </row>
    <row r="317" spans="1:41" ht="34.5">
      <c r="A317" s="150"/>
      <c r="B317" s="159" t="s">
        <v>644</v>
      </c>
      <c r="C317" s="160" t="s">
        <v>645</v>
      </c>
      <c r="D317" s="161" t="s">
        <v>646</v>
      </c>
      <c r="E317" s="162" t="s">
        <v>8</v>
      </c>
      <c r="F317" s="159" t="s">
        <v>647</v>
      </c>
      <c r="G317" s="163" t="s">
        <v>656</v>
      </c>
      <c r="H317" s="164" t="s">
        <v>649</v>
      </c>
      <c r="Q317" s="173">
        <f t="shared" si="65"/>
        <v>0</v>
      </c>
    </row>
    <row r="318" spans="1:41" ht="15.75" customHeight="1">
      <c r="A318" s="194" t="s">
        <v>618</v>
      </c>
      <c r="B318" s="168">
        <f>('Pivot Table for Data Exchange'!$M$6)*100</f>
        <v>63.795654749484967</v>
      </c>
      <c r="C318" s="168">
        <f>('Pivot Table for Data Exchange'!$M$9)*100</f>
        <v>10.598473238504321</v>
      </c>
      <c r="D318" s="169">
        <f>SUM(E318:G318)</f>
        <v>25.605872012010714</v>
      </c>
      <c r="E318" s="168">
        <f>('Pivot Table for Data Exchange'!$M$12)*100</f>
        <v>24.220250814824407</v>
      </c>
      <c r="F318" s="168">
        <f>('Pivot Table for Data Exchange'!$M$15)*100</f>
        <v>0.38912512201380944</v>
      </c>
      <c r="G318" s="172">
        <f>('Pivot Table for Data Exchange'!$M$18)*100</f>
        <v>0.99649607517249805</v>
      </c>
      <c r="H318" s="177">
        <f>('Pivot Table for Data Exchange'!$M$21)*100</f>
        <v>0</v>
      </c>
      <c r="I318" s="139"/>
      <c r="J318" s="207"/>
      <c r="K318" s="207"/>
      <c r="L318" s="207"/>
      <c r="M318" s="207"/>
      <c r="N318" s="207"/>
      <c r="O318" s="207"/>
      <c r="P318" s="207"/>
      <c r="Q318" s="173">
        <f t="shared" si="65"/>
        <v>100</v>
      </c>
      <c r="R318" s="173"/>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row>
    <row r="319" spans="1:41" ht="15.75" customHeight="1">
      <c r="A319" s="139" t="s">
        <v>619</v>
      </c>
      <c r="B319" s="168">
        <f>('Pivot Table for Data Exchange'!$M$42)*100</f>
        <v>62.367354350136452</v>
      </c>
      <c r="C319" s="168">
        <f>('Pivot Table for Data Exchange'!$M$45)*100</f>
        <v>6.0914193551832607</v>
      </c>
      <c r="D319" s="169">
        <f t="shared" ref="D319:D321" si="71">SUM(E319:G319)</f>
        <v>31.541226294680289</v>
      </c>
      <c r="E319" s="168">
        <f>('Pivot Table for Data Exchange'!$M$48)*100</f>
        <v>31.467526849562343</v>
      </c>
      <c r="F319" s="168">
        <f>('Pivot Table for Data Exchange'!$M$51)*100</f>
        <v>7.3699445117945822E-2</v>
      </c>
      <c r="G319" s="176">
        <f>('Pivot Table for Data Exchange'!$M$54)*100</f>
        <v>0</v>
      </c>
      <c r="H319" s="168">
        <f>('Pivot Table for Data Exchange'!$M$57)*100</f>
        <v>0</v>
      </c>
      <c r="I319" s="139"/>
      <c r="J319" s="207"/>
      <c r="K319" s="207"/>
      <c r="L319" s="207"/>
      <c r="M319" s="207"/>
      <c r="N319" s="207"/>
      <c r="O319" s="207"/>
      <c r="P319" s="207"/>
      <c r="Q319" s="173">
        <f t="shared" si="65"/>
        <v>100</v>
      </c>
      <c r="R319" s="173"/>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row>
    <row r="320" spans="1:41" ht="15.75" customHeight="1">
      <c r="A320" s="139" t="s">
        <v>620</v>
      </c>
      <c r="B320" s="168">
        <f>('Pivot Table for Data Exchange'!$M$78)*100</f>
        <v>78.871152136173095</v>
      </c>
      <c r="C320" s="168">
        <f>('Pivot Table for Data Exchange'!$M$81)*100</f>
        <v>0</v>
      </c>
      <c r="D320" s="169">
        <f t="shared" si="71"/>
        <v>21.128847863826905</v>
      </c>
      <c r="E320" s="168">
        <f>('Pivot Table for Data Exchange'!$M$84)*100</f>
        <v>20.61034616820703</v>
      </c>
      <c r="F320" s="168">
        <f>('Pivot Table for Data Exchange'!$M$87)*100</f>
        <v>0.33296508293332611</v>
      </c>
      <c r="G320" s="176">
        <f>('Pivot Table for Data Exchange'!$M$90)*100</f>
        <v>0.18553661268654706</v>
      </c>
      <c r="H320" s="168">
        <f>('Pivot Table for Data Exchange'!$M$93)*100</f>
        <v>0</v>
      </c>
      <c r="I320" s="139"/>
      <c r="J320" s="207"/>
      <c r="K320" s="207"/>
      <c r="L320" s="207"/>
      <c r="M320" s="207"/>
      <c r="N320" s="207"/>
      <c r="O320" s="207"/>
      <c r="P320" s="207"/>
      <c r="Q320" s="173">
        <f t="shared" si="65"/>
        <v>100</v>
      </c>
      <c r="R320" s="173"/>
      <c r="S320" s="174"/>
      <c r="T320" s="148"/>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row>
    <row r="321" spans="1:41" ht="15.75" customHeight="1">
      <c r="A321" s="139" t="s">
        <v>657</v>
      </c>
      <c r="B321" s="168">
        <f>('Pivot Table for Data Exchange'!$M$114)*100</f>
        <v>0</v>
      </c>
      <c r="C321" s="168">
        <f>('Pivot Table for Data Exchange'!$M$117)*100</f>
        <v>0</v>
      </c>
      <c r="D321" s="169">
        <f t="shared" si="71"/>
        <v>0</v>
      </c>
      <c r="E321" s="168">
        <f>('Pivot Table for Data Exchange'!$M$120)*100</f>
        <v>0</v>
      </c>
      <c r="F321" s="168">
        <f>('Pivot Table for Data Exchange'!$M$123)*100</f>
        <v>0</v>
      </c>
      <c r="G321" s="175">
        <f>('Pivot Table for Data Exchange'!$M$126)*100</f>
        <v>0</v>
      </c>
      <c r="H321" s="168">
        <f>('Pivot Table for Data Exchange'!$M$129)*100</f>
        <v>0</v>
      </c>
      <c r="I321" s="139"/>
      <c r="J321" s="207"/>
      <c r="K321" s="207"/>
      <c r="L321" s="207"/>
      <c r="M321" s="207"/>
      <c r="N321" s="207"/>
      <c r="O321" s="207"/>
      <c r="P321" s="207"/>
      <c r="Q321" s="173">
        <f t="shared" si="65"/>
        <v>0</v>
      </c>
      <c r="R321" s="173"/>
      <c r="S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row>
    <row r="322" spans="1:41" ht="15.75" customHeight="1">
      <c r="B322" s="168"/>
      <c r="C322" s="168"/>
      <c r="D322" s="169"/>
      <c r="E322" s="168"/>
      <c r="F322" s="168"/>
      <c r="G322" s="176"/>
      <c r="H322" s="168"/>
      <c r="I322" s="139"/>
      <c r="J322" s="207"/>
      <c r="K322" s="207"/>
      <c r="L322" s="207"/>
      <c r="M322" s="207"/>
      <c r="N322" s="207"/>
      <c r="O322" s="207"/>
      <c r="P322" s="207"/>
      <c r="Q322" s="173">
        <f t="shared" si="65"/>
        <v>0</v>
      </c>
      <c r="R322" s="173"/>
      <c r="S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row>
    <row r="323" spans="1:41" ht="15.75" customHeight="1">
      <c r="A323" s="139" t="s">
        <v>622</v>
      </c>
      <c r="B323" s="168">
        <f>('Pivot Table for Data Exchange'!$M$150)*100</f>
        <v>0</v>
      </c>
      <c r="C323" s="168">
        <f>('Pivot Table for Data Exchange'!$M$153)*100</f>
        <v>0</v>
      </c>
      <c r="D323" s="169">
        <f t="shared" ref="D323:D326" si="72">SUM(E323:G323)</f>
        <v>0</v>
      </c>
      <c r="E323" s="168">
        <f>('Pivot Table for Data Exchange'!$M$156)*100</f>
        <v>0</v>
      </c>
      <c r="F323" s="168">
        <f>('Pivot Table for Data Exchange'!$M$159)*100</f>
        <v>0</v>
      </c>
      <c r="G323" s="176">
        <f>('Pivot Table for Data Exchange'!$M$162)*100</f>
        <v>0</v>
      </c>
      <c r="H323" s="168">
        <f>('Pivot Table for Data Exchange'!$M$165)*100</f>
        <v>0</v>
      </c>
      <c r="I323" s="139"/>
      <c r="J323" s="207"/>
      <c r="K323" s="207"/>
      <c r="L323" s="207"/>
      <c r="M323" s="207"/>
      <c r="N323" s="207"/>
      <c r="O323" s="207"/>
      <c r="P323" s="207"/>
      <c r="Q323" s="173">
        <f t="shared" si="65"/>
        <v>0</v>
      </c>
      <c r="R323" s="173"/>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row>
    <row r="324" spans="1:41" ht="15.75" customHeight="1">
      <c r="A324" s="139" t="s">
        <v>623</v>
      </c>
      <c r="B324" s="168">
        <f>('Pivot Table for Data Exchange'!$M$186)*100</f>
        <v>47.769083792403677</v>
      </c>
      <c r="C324" s="168">
        <f>('Pivot Table for Data Exchange'!$M$189)*100</f>
        <v>6.6391583490186923</v>
      </c>
      <c r="D324" s="169">
        <f t="shared" si="72"/>
        <v>45.591757858577644</v>
      </c>
      <c r="E324" s="168">
        <f>('Pivot Table for Data Exchange'!$M$192)*100</f>
        <v>45.591757858577644</v>
      </c>
      <c r="F324" s="168">
        <f>('Pivot Table for Data Exchange'!$M$195)*100</f>
        <v>0</v>
      </c>
      <c r="G324" s="176">
        <f>('Pivot Table for Data Exchange'!$M$198)*100</f>
        <v>0</v>
      </c>
      <c r="H324" s="168">
        <f>('Pivot Table for Data Exchange'!$M$201)*100</f>
        <v>0</v>
      </c>
      <c r="I324" s="139"/>
      <c r="J324" s="207"/>
      <c r="K324" s="207"/>
      <c r="L324" s="207"/>
      <c r="M324" s="207"/>
      <c r="N324" s="207"/>
      <c r="O324" s="207"/>
      <c r="P324" s="207"/>
      <c r="Q324" s="173">
        <f t="shared" si="65"/>
        <v>100.00000000000001</v>
      </c>
      <c r="R324" s="173"/>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row>
    <row r="325" spans="1:41" ht="15.75" customHeight="1">
      <c r="A325" s="139" t="s">
        <v>624</v>
      </c>
      <c r="B325" s="168">
        <f>('Pivot Table for Data Exchange'!$M$222)*100</f>
        <v>70.65806196861584</v>
      </c>
      <c r="C325" s="168">
        <f>('Pivot Table for Data Exchange'!$M$225)*100</f>
        <v>0</v>
      </c>
      <c r="D325" s="169">
        <f t="shared" si="72"/>
        <v>29.341938031384167</v>
      </c>
      <c r="E325" s="168">
        <f>('Pivot Table for Data Exchange'!$M$228)*100</f>
        <v>29.341938031384167</v>
      </c>
      <c r="F325" s="168">
        <f>('Pivot Table for Data Exchange'!$M$231)*100</f>
        <v>0</v>
      </c>
      <c r="G325" s="176">
        <f>('Pivot Table for Data Exchange'!$M$234)*100</f>
        <v>0</v>
      </c>
      <c r="H325" s="168">
        <f>('Pivot Table for Data Exchange'!$M$237)*100</f>
        <v>0</v>
      </c>
      <c r="I325" s="139"/>
      <c r="J325" s="207"/>
      <c r="K325" s="207"/>
      <c r="L325" s="207"/>
      <c r="M325" s="207"/>
      <c r="N325" s="207"/>
      <c r="O325" s="207"/>
      <c r="P325" s="207"/>
      <c r="Q325" s="173">
        <f t="shared" si="65"/>
        <v>100</v>
      </c>
      <c r="R325" s="173"/>
      <c r="S325" s="174"/>
      <c r="T325" s="148"/>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row>
    <row r="326" spans="1:41" ht="15.75" customHeight="1">
      <c r="A326" s="139" t="s">
        <v>625</v>
      </c>
      <c r="B326" s="168">
        <f>('Pivot Table for Data Exchange'!$M$258)*100</f>
        <v>64.598467750265769</v>
      </c>
      <c r="C326" s="168">
        <f>('Pivot Table for Data Exchange'!$M$261)*100</f>
        <v>4.6219789441353196</v>
      </c>
      <c r="D326" s="169">
        <f t="shared" si="72"/>
        <v>30.774617051831576</v>
      </c>
      <c r="E326" s="168">
        <f>('Pivot Table for Data Exchange'!$M$264)*100</f>
        <v>30.62890615358879</v>
      </c>
      <c r="F326" s="168">
        <f>('Pivot Table for Data Exchange'!$M$267)*100</f>
        <v>0.14571089824278508</v>
      </c>
      <c r="G326" s="176">
        <f>('Pivot Table for Data Exchange'!$M$270)*100</f>
        <v>0</v>
      </c>
      <c r="H326" s="180">
        <f>('Pivot Table for Data Exchange'!$M$273)*100</f>
        <v>4.9362537673214519E-3</v>
      </c>
      <c r="I326" s="139"/>
      <c r="J326" s="207"/>
      <c r="K326" s="207"/>
      <c r="L326" s="207"/>
      <c r="M326" s="207"/>
      <c r="N326" s="207"/>
      <c r="O326" s="207"/>
      <c r="P326" s="207"/>
      <c r="Q326" s="173">
        <f t="shared" si="65"/>
        <v>99.999999999999986</v>
      </c>
      <c r="R326" s="173"/>
      <c r="S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row>
    <row r="327" spans="1:41" ht="12" customHeight="1">
      <c r="B327" s="168"/>
      <c r="C327" s="168"/>
      <c r="D327" s="169"/>
      <c r="E327" s="168"/>
      <c r="F327" s="168"/>
      <c r="G327" s="176"/>
      <c r="H327" s="168"/>
      <c r="I327" s="139"/>
      <c r="J327" s="207"/>
      <c r="K327" s="207"/>
      <c r="L327" s="207"/>
      <c r="M327" s="207"/>
      <c r="N327" s="207"/>
      <c r="O327" s="207"/>
      <c r="P327" s="207"/>
      <c r="Q327" s="173">
        <f t="shared" si="65"/>
        <v>0</v>
      </c>
      <c r="R327" s="173"/>
      <c r="S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row>
    <row r="328" spans="1:41" ht="15.75" customHeight="1">
      <c r="A328" s="139" t="s">
        <v>672</v>
      </c>
      <c r="B328" s="168">
        <f>('Pivot Table for Data Exchange'!$M$294)*100</f>
        <v>0</v>
      </c>
      <c r="C328" s="168">
        <f>('Pivot Table for Data Exchange'!$M$297)*100</f>
        <v>0</v>
      </c>
      <c r="D328" s="169">
        <f t="shared" ref="D328:D330" si="73">SUM(E328:G328)</f>
        <v>0</v>
      </c>
      <c r="E328" s="168">
        <f>('Pivot Table for Data Exchange'!$M$300)*100</f>
        <v>0</v>
      </c>
      <c r="F328" s="168">
        <f>('Pivot Table for Data Exchange'!$M$303)*100</f>
        <v>0</v>
      </c>
      <c r="G328" s="176">
        <f>('Pivot Table for Data Exchange'!$M$306)*100</f>
        <v>0</v>
      </c>
      <c r="H328" s="168">
        <f>('Pivot Table for Data Exchange'!$M$309)*100</f>
        <v>0</v>
      </c>
      <c r="I328" s="214"/>
      <c r="J328" s="207"/>
      <c r="K328" s="207"/>
      <c r="L328" s="207"/>
      <c r="M328" s="207"/>
      <c r="N328" s="207"/>
      <c r="O328" s="207"/>
      <c r="P328" s="207"/>
      <c r="Q328" s="173">
        <f t="shared" si="65"/>
        <v>0</v>
      </c>
      <c r="R328" s="173"/>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row>
    <row r="329" spans="1:41" ht="15.75" customHeight="1">
      <c r="A329" s="139" t="s">
        <v>627</v>
      </c>
      <c r="B329" s="168">
        <f>('Pivot Table for Data Exchange'!$M$330)*100</f>
        <v>48.912926962682285</v>
      </c>
      <c r="C329" s="168">
        <f>('Pivot Table for Data Exchange'!$M$333)*100</f>
        <v>4.7536092331684996</v>
      </c>
      <c r="D329" s="169">
        <f t="shared" si="73"/>
        <v>46.333463804149218</v>
      </c>
      <c r="E329" s="168">
        <f>('Pivot Table for Data Exchange'!$M$336)*100</f>
        <v>46.124097959693707</v>
      </c>
      <c r="F329" s="168">
        <f>('Pivot Table for Data Exchange'!$M$339)*100</f>
        <v>0.20936584445551099</v>
      </c>
      <c r="G329" s="175">
        <f>('Pivot Table for Data Exchange'!$M$342)*100</f>
        <v>0</v>
      </c>
      <c r="H329" s="168">
        <f>('Pivot Table for Data Exchange'!$M$345)*100</f>
        <v>0</v>
      </c>
      <c r="I329" s="139"/>
      <c r="J329" s="207"/>
      <c r="K329" s="207"/>
      <c r="L329" s="207"/>
      <c r="M329" s="207"/>
      <c r="N329" s="207"/>
      <c r="O329" s="207"/>
      <c r="P329" s="207"/>
      <c r="Q329" s="173">
        <f t="shared" si="65"/>
        <v>100</v>
      </c>
      <c r="R329" s="173"/>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row>
    <row r="330" spans="1:41" ht="15.75" customHeight="1">
      <c r="A330" s="139" t="s">
        <v>628</v>
      </c>
      <c r="B330" s="168">
        <f>('Pivot Table for Data Exchange'!$M$366)*100</f>
        <v>0</v>
      </c>
      <c r="C330" s="168">
        <f>('Pivot Table for Data Exchange'!$M$369)*100</f>
        <v>0</v>
      </c>
      <c r="D330" s="169">
        <f t="shared" si="73"/>
        <v>0</v>
      </c>
      <c r="E330" s="168">
        <f>('Pivot Table for Data Exchange'!$M$372)*100</f>
        <v>0</v>
      </c>
      <c r="F330" s="168">
        <f>('Pivot Table for Data Exchange'!$M$375)*100</f>
        <v>0</v>
      </c>
      <c r="G330" s="175">
        <f>('Pivot Table for Data Exchange'!$M$378)*100</f>
        <v>0</v>
      </c>
      <c r="H330" s="168">
        <f>('Pivot Table for Data Exchange'!$M$381)*100</f>
        <v>0</v>
      </c>
      <c r="I330" s="139"/>
      <c r="J330" s="207"/>
      <c r="K330" s="207"/>
      <c r="L330" s="207"/>
      <c r="M330" s="207"/>
      <c r="N330" s="207"/>
      <c r="O330" s="207"/>
      <c r="P330" s="207"/>
      <c r="Q330" s="173">
        <f t="shared" si="65"/>
        <v>0</v>
      </c>
      <c r="R330" s="173"/>
      <c r="S330" s="174"/>
      <c r="T330" s="148"/>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row>
    <row r="331" spans="1:41" ht="15.75" customHeight="1">
      <c r="A331" s="139" t="s">
        <v>629</v>
      </c>
      <c r="B331" s="168">
        <f>('Pivot Table for Data Exchange'!$M$402)*100</f>
        <v>55.451406431408238</v>
      </c>
      <c r="C331" s="168">
        <f>('Pivot Table for Data Exchange'!$M$405)*100</f>
        <v>7.7347872201608023</v>
      </c>
      <c r="D331" s="169">
        <f>SUM(E331:G331)</f>
        <v>36.813806348430958</v>
      </c>
      <c r="E331" s="168">
        <f>('Pivot Table for Data Exchange'!$M$408)*100</f>
        <v>35.240249333337793</v>
      </c>
      <c r="F331" s="168">
        <f>('Pivot Table for Data Exchange'!$M$411)*100</f>
        <v>1.5735570150931653</v>
      </c>
      <c r="G331" s="179">
        <f>('Pivot Table for Data Exchange'!$M$414)*100</f>
        <v>0</v>
      </c>
      <c r="H331" s="168">
        <f>('Pivot Table for Data Exchange'!$M$417)*100</f>
        <v>0</v>
      </c>
      <c r="I331" s="139"/>
      <c r="J331" s="207"/>
      <c r="K331" s="207"/>
      <c r="L331" s="207"/>
      <c r="M331" s="207"/>
      <c r="N331" s="207"/>
      <c r="O331" s="207"/>
      <c r="P331" s="207"/>
      <c r="Q331" s="173">
        <f t="shared" ref="Q331:Q395" si="74">SUM(B331,C331,D331,H331)</f>
        <v>100</v>
      </c>
      <c r="R331" s="173"/>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row>
    <row r="332" spans="1:41" ht="12.75" customHeight="1">
      <c r="B332" s="168"/>
      <c r="C332" s="168"/>
      <c r="D332" s="169"/>
      <c r="E332" s="168"/>
      <c r="F332" s="168"/>
      <c r="G332" s="176"/>
      <c r="H332" s="168"/>
      <c r="I332" s="139"/>
      <c r="J332" s="207"/>
      <c r="K332" s="207"/>
      <c r="L332" s="207"/>
      <c r="M332" s="207"/>
      <c r="N332" s="207"/>
      <c r="O332" s="207"/>
      <c r="P332" s="207"/>
      <c r="Q332" s="173">
        <f t="shared" si="74"/>
        <v>0</v>
      </c>
      <c r="R332" s="173"/>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row>
    <row r="333" spans="1:41" ht="15.75" customHeight="1">
      <c r="A333" s="139" t="s">
        <v>630</v>
      </c>
      <c r="B333" s="168">
        <f>('Pivot Table for Data Exchange'!$M$438)*100</f>
        <v>32.356260524184741</v>
      </c>
      <c r="C333" s="168">
        <f>('Pivot Table for Data Exchange'!$M$441)*100</f>
        <v>34.651464709436098</v>
      </c>
      <c r="D333" s="169">
        <f>SUM(E333:G333)</f>
        <v>32.782369500109262</v>
      </c>
      <c r="E333" s="168">
        <f>('Pivot Table for Data Exchange'!$M$444)*100</f>
        <v>23.414013393832668</v>
      </c>
      <c r="F333" s="168">
        <f>('Pivot Table for Data Exchange'!$M$447)*100</f>
        <v>2.9624535650474955</v>
      </c>
      <c r="G333" s="176">
        <f>('Pivot Table for Data Exchange'!$M$450)*100</f>
        <v>6.4059025412290955</v>
      </c>
      <c r="H333" s="168">
        <f>('Pivot Table for Data Exchange'!$M$453)*100</f>
        <v>0.20990526626990758</v>
      </c>
      <c r="I333" s="139"/>
      <c r="J333" s="207"/>
      <c r="K333" s="207"/>
      <c r="L333" s="207"/>
      <c r="M333" s="207"/>
      <c r="N333" s="207"/>
      <c r="O333" s="207"/>
      <c r="P333" s="207"/>
      <c r="Q333" s="173">
        <f t="shared" si="74"/>
        <v>100.00000000000003</v>
      </c>
      <c r="R333" s="173"/>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row>
    <row r="334" spans="1:41" ht="15.75" customHeight="1">
      <c r="A334" s="139" t="s">
        <v>631</v>
      </c>
      <c r="B334" s="168">
        <f>('Pivot Table for Data Exchange'!$M$474)*100</f>
        <v>0</v>
      </c>
      <c r="C334" s="168">
        <f>('Pivot Table for Data Exchange'!$M$477)*100</f>
        <v>0</v>
      </c>
      <c r="D334" s="169">
        <f>SUM(E334:G334)</f>
        <v>0</v>
      </c>
      <c r="E334" s="168">
        <f>('Pivot Table for Data Exchange'!$M$480)*100</f>
        <v>0</v>
      </c>
      <c r="F334" s="168">
        <f>('Pivot Table for Data Exchange'!$M$483)*100</f>
        <v>0</v>
      </c>
      <c r="G334" s="176">
        <f>('Pivot Table for Data Exchange'!$M$486)*100</f>
        <v>0</v>
      </c>
      <c r="H334" s="168">
        <f>('Pivot Table for Data Exchange'!$M$489)*100</f>
        <v>0</v>
      </c>
      <c r="I334" s="139"/>
      <c r="J334" s="207"/>
      <c r="K334" s="207"/>
      <c r="L334" s="207"/>
      <c r="M334" s="207"/>
      <c r="N334" s="207"/>
      <c r="O334" s="207"/>
      <c r="P334" s="207"/>
      <c r="Q334" s="173">
        <f t="shared" si="74"/>
        <v>0</v>
      </c>
      <c r="R334" s="173"/>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row>
    <row r="335" spans="1:41" ht="15.75" customHeight="1">
      <c r="A335" s="139" t="s">
        <v>632</v>
      </c>
      <c r="B335" s="168">
        <f>('Pivot Table for Data Exchange'!$M$510)*100</f>
        <v>39.946577089983343</v>
      </c>
      <c r="C335" s="168">
        <f>('Pivot Table for Data Exchange'!$M$513)*100</f>
        <v>24.568550116705939</v>
      </c>
      <c r="D335" s="169">
        <f t="shared" ref="D335" si="75">SUM(E335:G335)</f>
        <v>35.484872793310714</v>
      </c>
      <c r="E335" s="168">
        <f>('Pivot Table for Data Exchange'!$M$516)*100</f>
        <v>29.430369169577354</v>
      </c>
      <c r="F335" s="168">
        <f>('Pivot Table for Data Exchange'!$M$519)*100</f>
        <v>6.054503623733364</v>
      </c>
      <c r="G335" s="176">
        <f>('Pivot Table for Data Exchange'!$M$522)*100</f>
        <v>0</v>
      </c>
      <c r="H335" s="168">
        <f>('Pivot Table for Data Exchange'!$M$525)*100</f>
        <v>0</v>
      </c>
      <c r="I335" s="139"/>
      <c r="J335" s="207"/>
      <c r="K335" s="207"/>
      <c r="L335" s="207"/>
      <c r="M335" s="207"/>
      <c r="N335" s="207"/>
      <c r="O335" s="207"/>
      <c r="P335" s="207"/>
      <c r="Q335" s="173">
        <f t="shared" si="74"/>
        <v>100</v>
      </c>
      <c r="R335" s="173"/>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row>
    <row r="336" spans="1:41" ht="15.75" customHeight="1">
      <c r="A336" s="145" t="s">
        <v>633</v>
      </c>
      <c r="B336" s="181">
        <f>('Pivot Table for Data Exchange'!$M$546)*100</f>
        <v>63.479458342896486</v>
      </c>
      <c r="C336" s="181">
        <f>('Pivot Table for Data Exchange'!$M$549)*100</f>
        <v>13.581210312906434</v>
      </c>
      <c r="D336" s="182">
        <f>SUM(E336:G336)</f>
        <v>22.939331344197079</v>
      </c>
      <c r="E336" s="181">
        <f>('Pivot Table for Data Exchange'!$M$552)*100</f>
        <v>22.939331344197079</v>
      </c>
      <c r="F336" s="181">
        <f>('Pivot Table for Data Exchange'!$M$555)*100</f>
        <v>0</v>
      </c>
      <c r="G336" s="204">
        <f>('Pivot Table for Data Exchange'!$M$558)*100</f>
        <v>0</v>
      </c>
      <c r="H336" s="181">
        <f>('Pivot Table for Data Exchange'!$M$561)*100</f>
        <v>0</v>
      </c>
      <c r="I336" s="139"/>
      <c r="J336" s="207"/>
      <c r="K336" s="207"/>
      <c r="L336" s="207"/>
      <c r="M336" s="207"/>
      <c r="N336" s="207"/>
      <c r="O336" s="207"/>
      <c r="P336" s="207"/>
      <c r="Q336" s="173">
        <f t="shared" si="74"/>
        <v>100</v>
      </c>
      <c r="R336" s="173"/>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row>
    <row r="337" spans="1:41" s="186" customFormat="1" ht="12" customHeight="1">
      <c r="A337" s="187" t="s">
        <v>658</v>
      </c>
      <c r="B337" s="188"/>
      <c r="C337" s="188"/>
      <c r="D337" s="189"/>
      <c r="E337" s="188"/>
      <c r="F337" s="189"/>
      <c r="G337" s="189"/>
      <c r="H337" s="188"/>
      <c r="I337" s="197"/>
      <c r="J337" s="188"/>
      <c r="K337" s="188"/>
      <c r="L337" s="189"/>
      <c r="M337" s="188"/>
      <c r="N337" s="189"/>
      <c r="O337" s="189"/>
      <c r="P337" s="188"/>
      <c r="Q337" s="173">
        <f t="shared" si="74"/>
        <v>0</v>
      </c>
      <c r="R337" s="208"/>
      <c r="S337" s="190"/>
      <c r="T337" s="190"/>
      <c r="U337" s="190"/>
      <c r="V337" s="190"/>
      <c r="W337" s="190"/>
      <c r="X337" s="190"/>
      <c r="Y337" s="190"/>
      <c r="Z337" s="190"/>
      <c r="AA337" s="190"/>
      <c r="AB337" s="190"/>
      <c r="AC337" s="190"/>
      <c r="AD337" s="190"/>
      <c r="AE337" s="190"/>
      <c r="AF337" s="190"/>
      <c r="AG337" s="190"/>
      <c r="AH337" s="190"/>
      <c r="AI337" s="190"/>
      <c r="AJ337" s="190"/>
      <c r="AK337" s="190"/>
      <c r="AL337" s="190"/>
      <c r="AM337" s="190"/>
      <c r="AN337" s="190"/>
      <c r="AO337" s="190"/>
    </row>
    <row r="338" spans="1:41" s="186" customFormat="1" ht="22.5" customHeight="1">
      <c r="A338" s="492" t="s">
        <v>673</v>
      </c>
      <c r="B338" s="505"/>
      <c r="C338" s="505"/>
      <c r="D338" s="505"/>
      <c r="E338" s="505"/>
      <c r="F338" s="505"/>
      <c r="G338" s="505"/>
      <c r="H338" s="505"/>
      <c r="I338" s="197"/>
      <c r="P338" s="199"/>
      <c r="Q338" s="173">
        <f t="shared" si="74"/>
        <v>0</v>
      </c>
      <c r="R338" s="209"/>
    </row>
    <row r="339" spans="1:41" s="186" customFormat="1" ht="13.5" customHeight="1">
      <c r="A339" s="185"/>
      <c r="B339" s="215"/>
      <c r="C339" s="215"/>
      <c r="D339" s="215"/>
      <c r="E339" s="215"/>
      <c r="F339" s="215"/>
      <c r="G339" s="215"/>
      <c r="H339" s="215"/>
      <c r="I339" s="197"/>
      <c r="P339" s="199"/>
      <c r="Q339" s="173"/>
      <c r="R339" s="209"/>
    </row>
    <row r="340" spans="1:41" s="186" customFormat="1">
      <c r="H340" s="192" t="s">
        <v>923</v>
      </c>
      <c r="Q340" s="173">
        <f t="shared" si="74"/>
        <v>0</v>
      </c>
      <c r="R340" s="212"/>
    </row>
    <row r="341" spans="1:41" ht="18">
      <c r="A341" s="134" t="s">
        <v>678</v>
      </c>
      <c r="B341" s="135"/>
      <c r="C341" s="135"/>
      <c r="D341" s="135"/>
      <c r="E341" s="135"/>
      <c r="F341" s="135"/>
      <c r="G341" s="135"/>
      <c r="H341" s="135"/>
      <c r="L341" s="135"/>
      <c r="Q341" s="173">
        <f t="shared" si="74"/>
        <v>0</v>
      </c>
    </row>
    <row r="342" spans="1:41" ht="13">
      <c r="A342" s="140"/>
      <c r="B342" s="136"/>
      <c r="C342" s="136"/>
      <c r="D342" s="136"/>
      <c r="E342" s="136"/>
      <c r="F342" s="136"/>
      <c r="G342" s="136"/>
      <c r="H342" s="136"/>
      <c r="Q342" s="173">
        <f t="shared" si="74"/>
        <v>0</v>
      </c>
    </row>
    <row r="343" spans="1:41" ht="15.5">
      <c r="A343" s="142" t="s">
        <v>639</v>
      </c>
      <c r="B343" s="136"/>
      <c r="C343" s="136"/>
      <c r="D343" s="136"/>
      <c r="E343" s="136"/>
      <c r="F343" s="136"/>
      <c r="G343" s="136"/>
      <c r="H343" s="136"/>
      <c r="L343" s="136"/>
      <c r="Q343" s="173">
        <f t="shared" si="74"/>
        <v>0</v>
      </c>
    </row>
    <row r="344" spans="1:41" ht="15.5">
      <c r="A344" s="142" t="s">
        <v>757</v>
      </c>
      <c r="B344" s="136"/>
      <c r="C344" s="136"/>
      <c r="D344" s="136"/>
      <c r="E344" s="136"/>
      <c r="F344" s="136"/>
      <c r="G344" s="136"/>
      <c r="H344" s="136"/>
      <c r="Q344" s="173">
        <f t="shared" si="74"/>
        <v>0</v>
      </c>
    </row>
    <row r="345" spans="1:41">
      <c r="A345" s="145"/>
      <c r="B345" s="146"/>
      <c r="C345" s="146"/>
      <c r="D345" s="146"/>
      <c r="E345" s="146"/>
      <c r="F345" s="146"/>
      <c r="G345" s="146"/>
      <c r="H345" s="146"/>
      <c r="Q345" s="173">
        <f t="shared" si="74"/>
        <v>0</v>
      </c>
    </row>
    <row r="346" spans="1:41">
      <c r="A346" s="150"/>
      <c r="B346" s="151" t="s">
        <v>641</v>
      </c>
      <c r="C346" s="151"/>
      <c r="D346" s="151"/>
      <c r="E346" s="151"/>
      <c r="F346" s="151"/>
      <c r="G346" s="151"/>
      <c r="H346" s="152"/>
      <c r="Q346" s="173">
        <f t="shared" si="74"/>
        <v>0</v>
      </c>
    </row>
    <row r="347" spans="1:41">
      <c r="A347" s="150"/>
      <c r="B347" s="151" t="s">
        <v>642</v>
      </c>
      <c r="C347" s="151"/>
      <c r="D347" s="487" t="s">
        <v>643</v>
      </c>
      <c r="E347" s="485"/>
      <c r="F347" s="485"/>
      <c r="G347" s="485"/>
      <c r="H347" s="158" t="s">
        <v>533</v>
      </c>
      <c r="Q347" s="173">
        <f t="shared" si="74"/>
        <v>0</v>
      </c>
    </row>
    <row r="348" spans="1:41" ht="34.5">
      <c r="A348" s="150"/>
      <c r="B348" s="159" t="s">
        <v>644</v>
      </c>
      <c r="C348" s="160" t="s">
        <v>645</v>
      </c>
      <c r="D348" s="161" t="s">
        <v>646</v>
      </c>
      <c r="E348" s="162" t="s">
        <v>8</v>
      </c>
      <c r="F348" s="159" t="s">
        <v>647</v>
      </c>
      <c r="G348" s="163" t="s">
        <v>656</v>
      </c>
      <c r="H348" s="164" t="s">
        <v>649</v>
      </c>
      <c r="Q348" s="173">
        <f t="shared" si="74"/>
        <v>0</v>
      </c>
    </row>
    <row r="349" spans="1:41" ht="15.75" customHeight="1">
      <c r="A349" s="194" t="s">
        <v>618</v>
      </c>
      <c r="B349" s="168">
        <f>('Pivot Table for Data Exchange'!$N$6)*100</f>
        <v>60.588062014511038</v>
      </c>
      <c r="C349" s="168">
        <f>('Pivot Table for Data Exchange'!$N$9)*100</f>
        <v>2.3469969325742683</v>
      </c>
      <c r="D349" s="169">
        <f>SUM(E349:G349)</f>
        <v>37.064941052914698</v>
      </c>
      <c r="E349" s="168">
        <f>('Pivot Table for Data Exchange'!$N$12)*100</f>
        <v>37.064941052914698</v>
      </c>
      <c r="F349" s="168">
        <f>('Pivot Table for Data Exchange'!$N$15)*100</f>
        <v>0</v>
      </c>
      <c r="G349" s="172">
        <f>('Pivot Table for Data Exchange'!$N$18)*100</f>
        <v>0</v>
      </c>
      <c r="H349" s="168">
        <f>('Pivot Table for Data Exchange'!$N$21)*100</f>
        <v>0</v>
      </c>
      <c r="I349" s="139"/>
      <c r="J349" s="207"/>
      <c r="K349" s="207"/>
      <c r="L349" s="207"/>
      <c r="M349" s="207"/>
      <c r="N349" s="207"/>
      <c r="O349" s="207"/>
      <c r="P349" s="207"/>
      <c r="Q349" s="173">
        <f t="shared" si="74"/>
        <v>100</v>
      </c>
      <c r="R349" s="173"/>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row>
    <row r="350" spans="1:41" ht="15.75" customHeight="1">
      <c r="A350" s="139" t="s">
        <v>619</v>
      </c>
      <c r="B350" s="168">
        <f>('Pivot Table for Data Exchange'!$N$42)*100</f>
        <v>57.810571868079855</v>
      </c>
      <c r="C350" s="168">
        <f>('Pivot Table for Data Exchange'!$N$45)*100</f>
        <v>11.580708960900655</v>
      </c>
      <c r="D350" s="169">
        <f t="shared" ref="D350:D352" si="76">SUM(E350:G350)</f>
        <v>30.608719171019491</v>
      </c>
      <c r="E350" s="168">
        <f>('Pivot Table for Data Exchange'!$N$48)*100</f>
        <v>29.168821948374664</v>
      </c>
      <c r="F350" s="168">
        <f>('Pivot Table for Data Exchange'!$N$51)*100</f>
        <v>1.4398972226448263</v>
      </c>
      <c r="G350" s="175">
        <f>('Pivot Table for Data Exchange'!$N$54)*100</f>
        <v>0</v>
      </c>
      <c r="H350" s="180">
        <f>('Pivot Table for Data Exchange'!$N$57)*100</f>
        <v>0</v>
      </c>
      <c r="I350" s="139"/>
      <c r="J350" s="207"/>
      <c r="K350" s="207"/>
      <c r="L350" s="207"/>
      <c r="M350" s="207"/>
      <c r="N350" s="207"/>
      <c r="O350" s="207"/>
      <c r="P350" s="207"/>
      <c r="Q350" s="173">
        <f t="shared" si="74"/>
        <v>100</v>
      </c>
      <c r="R350" s="173"/>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row>
    <row r="351" spans="1:41" ht="15.75" customHeight="1">
      <c r="A351" s="139" t="s">
        <v>620</v>
      </c>
      <c r="B351" s="168">
        <f>('Pivot Table for Data Exchange'!$N$78)*100</f>
        <v>0</v>
      </c>
      <c r="C351" s="168">
        <f>('Pivot Table for Data Exchange'!$N$81)*100</f>
        <v>0</v>
      </c>
      <c r="D351" s="169">
        <f t="shared" si="76"/>
        <v>0</v>
      </c>
      <c r="E351" s="168">
        <f>('Pivot Table for Data Exchange'!$N$84)*100</f>
        <v>0</v>
      </c>
      <c r="F351" s="168">
        <f>('Pivot Table for Data Exchange'!$N$87)*100</f>
        <v>0</v>
      </c>
      <c r="G351" s="176">
        <f>('Pivot Table for Data Exchange'!$N$90)*100</f>
        <v>0</v>
      </c>
      <c r="H351" s="168">
        <f>('Pivot Table for Data Exchange'!$N$93)*100</f>
        <v>0</v>
      </c>
      <c r="I351" s="139"/>
      <c r="J351" s="207"/>
      <c r="K351" s="207"/>
      <c r="L351" s="207"/>
      <c r="M351" s="207"/>
      <c r="N351" s="207"/>
      <c r="O351" s="207"/>
      <c r="P351" s="207"/>
      <c r="Q351" s="173">
        <f t="shared" si="74"/>
        <v>0</v>
      </c>
      <c r="R351" s="173"/>
      <c r="S351" s="174"/>
      <c r="T351" s="148"/>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row>
    <row r="352" spans="1:41" ht="15.75" customHeight="1">
      <c r="A352" s="139" t="s">
        <v>657</v>
      </c>
      <c r="B352" s="168">
        <f>('Pivot Table for Data Exchange'!$N$114)*100</f>
        <v>61.529893212582031</v>
      </c>
      <c r="C352" s="168">
        <f>('Pivot Table for Data Exchange'!$N$117)*100</f>
        <v>2.339152965106424</v>
      </c>
      <c r="D352" s="169">
        <f t="shared" si="76"/>
        <v>36.130953822311547</v>
      </c>
      <c r="E352" s="168">
        <f>('Pivot Table for Data Exchange'!$N$120)*100</f>
        <v>36.130953822311547</v>
      </c>
      <c r="F352" s="168">
        <f>('Pivot Table for Data Exchange'!$N$123)*100</f>
        <v>0</v>
      </c>
      <c r="G352" s="176">
        <f>('Pivot Table for Data Exchange'!$N$126)*100</f>
        <v>0</v>
      </c>
      <c r="H352" s="168">
        <f>('Pivot Table for Data Exchange'!$N$129)*100</f>
        <v>0</v>
      </c>
      <c r="I352" s="139"/>
      <c r="J352" s="207"/>
      <c r="K352" s="207"/>
      <c r="L352" s="207"/>
      <c r="M352" s="207"/>
      <c r="N352" s="207"/>
      <c r="O352" s="207"/>
      <c r="P352" s="207"/>
      <c r="Q352" s="173">
        <f t="shared" si="74"/>
        <v>100</v>
      </c>
      <c r="R352" s="173"/>
      <c r="S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row>
    <row r="353" spans="1:41" ht="15.75" customHeight="1">
      <c r="B353" s="168"/>
      <c r="C353" s="168"/>
      <c r="D353" s="169"/>
      <c r="E353" s="168"/>
      <c r="F353" s="168"/>
      <c r="G353" s="176"/>
      <c r="H353" s="168"/>
      <c r="I353" s="139"/>
      <c r="J353" s="207"/>
      <c r="K353" s="207"/>
      <c r="L353" s="207"/>
      <c r="M353" s="207"/>
      <c r="N353" s="207"/>
      <c r="O353" s="207"/>
      <c r="P353" s="207"/>
      <c r="Q353" s="173">
        <f t="shared" si="74"/>
        <v>0</v>
      </c>
      <c r="R353" s="173"/>
      <c r="S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row>
    <row r="354" spans="1:41" ht="15.75" customHeight="1">
      <c r="A354" s="139" t="s">
        <v>622</v>
      </c>
      <c r="B354" s="168">
        <f>('Pivot Table for Data Exchange'!$N$150)*100</f>
        <v>0</v>
      </c>
      <c r="C354" s="168">
        <f>('Pivot Table for Data Exchange'!$N$153)*100</f>
        <v>0</v>
      </c>
      <c r="D354" s="169">
        <f t="shared" ref="D354:D357" si="77">SUM(E354:G354)</f>
        <v>0</v>
      </c>
      <c r="E354" s="168">
        <f>('Pivot Table for Data Exchange'!$N$156)*100</f>
        <v>0</v>
      </c>
      <c r="F354" s="168">
        <f>('Pivot Table for Data Exchange'!$N$159)*100</f>
        <v>0</v>
      </c>
      <c r="G354" s="176">
        <f>('Pivot Table for Data Exchange'!$N$162)*100</f>
        <v>0</v>
      </c>
      <c r="H354" s="168">
        <f>('Pivot Table for Data Exchange'!$N$165)*100</f>
        <v>0</v>
      </c>
      <c r="I354" s="139"/>
      <c r="J354" s="207"/>
      <c r="K354" s="207"/>
      <c r="L354" s="207"/>
      <c r="M354" s="207"/>
      <c r="N354" s="207"/>
      <c r="O354" s="207"/>
      <c r="P354" s="207"/>
      <c r="Q354" s="173">
        <f t="shared" si="74"/>
        <v>0</v>
      </c>
      <c r="R354" s="173"/>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row>
    <row r="355" spans="1:41" ht="15.75" customHeight="1">
      <c r="A355" s="139" t="s">
        <v>623</v>
      </c>
      <c r="B355" s="168">
        <f>('Pivot Table for Data Exchange'!$N$186)*100</f>
        <v>44.681271616960593</v>
      </c>
      <c r="C355" s="168">
        <f>('Pivot Table for Data Exchange'!$N$189)*100</f>
        <v>5.4295272328402175</v>
      </c>
      <c r="D355" s="169">
        <f t="shared" si="77"/>
        <v>49.889201150199177</v>
      </c>
      <c r="E355" s="168">
        <f>('Pivot Table for Data Exchange'!$N$192)*100</f>
        <v>49.889201150199177</v>
      </c>
      <c r="F355" s="168">
        <f>('Pivot Table for Data Exchange'!$N$195)*100</f>
        <v>0</v>
      </c>
      <c r="G355" s="176">
        <f>('Pivot Table for Data Exchange'!$N$198)*100</f>
        <v>0</v>
      </c>
      <c r="H355" s="168">
        <f>('Pivot Table for Data Exchange'!$N$201)*100</f>
        <v>0</v>
      </c>
      <c r="I355" s="139"/>
      <c r="J355" s="207"/>
      <c r="K355" s="207"/>
      <c r="L355" s="207"/>
      <c r="M355" s="207"/>
      <c r="N355" s="207"/>
      <c r="O355" s="207"/>
      <c r="P355" s="207"/>
      <c r="Q355" s="173">
        <f t="shared" si="74"/>
        <v>99.999999999999986</v>
      </c>
      <c r="R355" s="173"/>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row>
    <row r="356" spans="1:41" ht="15.75" customHeight="1">
      <c r="A356" s="139" t="s">
        <v>624</v>
      </c>
      <c r="B356" s="168">
        <f>('Pivot Table for Data Exchange'!$N$222)*100</f>
        <v>74.118961084439832</v>
      </c>
      <c r="C356" s="168">
        <f>('Pivot Table for Data Exchange'!$N$225)*100</f>
        <v>0</v>
      </c>
      <c r="D356" s="169">
        <f t="shared" si="77"/>
        <v>25.881038915560179</v>
      </c>
      <c r="E356" s="168">
        <f>('Pivot Table for Data Exchange'!$N$228)*100</f>
        <v>25.881038915560179</v>
      </c>
      <c r="F356" s="168">
        <f>('Pivot Table for Data Exchange'!$N$231)*100</f>
        <v>0</v>
      </c>
      <c r="G356" s="176">
        <f>('Pivot Table for Data Exchange'!$N$234)*100</f>
        <v>0</v>
      </c>
      <c r="H356" s="168">
        <f>('Pivot Table for Data Exchange'!$N$237)*100</f>
        <v>0</v>
      </c>
      <c r="I356" s="139"/>
      <c r="J356" s="207"/>
      <c r="K356" s="207"/>
      <c r="L356" s="207"/>
      <c r="M356" s="207"/>
      <c r="N356" s="207"/>
      <c r="O356" s="207"/>
      <c r="P356" s="207"/>
      <c r="Q356" s="173">
        <f t="shared" si="74"/>
        <v>100.00000000000001</v>
      </c>
      <c r="R356" s="173"/>
      <c r="S356" s="174"/>
      <c r="T356" s="148"/>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row>
    <row r="357" spans="1:41" ht="15.75" customHeight="1">
      <c r="A357" s="139" t="s">
        <v>625</v>
      </c>
      <c r="B357" s="168">
        <f>('Pivot Table for Data Exchange'!$N$258)*100</f>
        <v>61.652095266807358</v>
      </c>
      <c r="C357" s="168">
        <f>('Pivot Table for Data Exchange'!$N$261)*100</f>
        <v>11.310465528879119</v>
      </c>
      <c r="D357" s="169">
        <f t="shared" si="77"/>
        <v>27.037439204313525</v>
      </c>
      <c r="E357" s="168">
        <f>('Pivot Table for Data Exchange'!$N$264)*100</f>
        <v>26.237590743314808</v>
      </c>
      <c r="F357" s="168">
        <f>('Pivot Table for Data Exchange'!$N$267)*100</f>
        <v>0.79984846099871665</v>
      </c>
      <c r="G357" s="176">
        <f>('Pivot Table for Data Exchange'!$N$270)*100</f>
        <v>0</v>
      </c>
      <c r="H357" s="168">
        <f>('Pivot Table for Data Exchange'!$N$273)*100</f>
        <v>0</v>
      </c>
      <c r="I357" s="139"/>
      <c r="J357" s="207"/>
      <c r="K357" s="207"/>
      <c r="L357" s="207"/>
      <c r="M357" s="207"/>
      <c r="N357" s="207"/>
      <c r="O357" s="207"/>
      <c r="P357" s="207"/>
      <c r="Q357" s="173">
        <f t="shared" si="74"/>
        <v>100</v>
      </c>
      <c r="R357" s="173"/>
      <c r="S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row>
    <row r="358" spans="1:41" ht="12.75" customHeight="1">
      <c r="B358" s="168"/>
      <c r="C358" s="168"/>
      <c r="D358" s="169"/>
      <c r="E358" s="168"/>
      <c r="F358" s="168"/>
      <c r="G358" s="176"/>
      <c r="H358" s="168"/>
      <c r="I358" s="139"/>
      <c r="J358" s="207"/>
      <c r="K358" s="207"/>
      <c r="L358" s="207"/>
      <c r="M358" s="207"/>
      <c r="N358" s="207"/>
      <c r="O358" s="207"/>
      <c r="P358" s="207"/>
      <c r="Q358" s="173">
        <f t="shared" si="74"/>
        <v>0</v>
      </c>
      <c r="R358" s="173"/>
      <c r="S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row>
    <row r="359" spans="1:41" ht="15.75" customHeight="1">
      <c r="A359" s="139" t="s">
        <v>672</v>
      </c>
      <c r="B359" s="168">
        <f>('Pivot Table for Data Exchange'!$N$294)*100</f>
        <v>0</v>
      </c>
      <c r="C359" s="168">
        <f>('Pivot Table for Data Exchange'!$N$297)*100</f>
        <v>0</v>
      </c>
      <c r="D359" s="169">
        <f t="shared" ref="D359:D361" si="78">SUM(E359:G359)</f>
        <v>0</v>
      </c>
      <c r="E359" s="168">
        <f>('Pivot Table for Data Exchange'!$N$300)*100</f>
        <v>0</v>
      </c>
      <c r="F359" s="168">
        <f>('Pivot Table for Data Exchange'!$N$303)*100</f>
        <v>0</v>
      </c>
      <c r="G359" s="176">
        <f>('Pivot Table for Data Exchange'!$N$306)*100</f>
        <v>0</v>
      </c>
      <c r="H359" s="168">
        <f>('Pivot Table for Data Exchange'!$N$309)*100</f>
        <v>0</v>
      </c>
      <c r="I359" s="214"/>
      <c r="J359" s="207"/>
      <c r="K359" s="207"/>
      <c r="L359" s="207"/>
      <c r="M359" s="207"/>
      <c r="N359" s="207"/>
      <c r="O359" s="207"/>
      <c r="P359" s="207"/>
      <c r="Q359" s="173">
        <f t="shared" si="74"/>
        <v>0</v>
      </c>
      <c r="R359" s="173"/>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row>
    <row r="360" spans="1:41" ht="15.75" customHeight="1">
      <c r="A360" s="139" t="s">
        <v>627</v>
      </c>
      <c r="B360" s="168">
        <f>('Pivot Table for Data Exchange'!$N$330)*100</f>
        <v>44.539167718071774</v>
      </c>
      <c r="C360" s="168">
        <f>('Pivot Table for Data Exchange'!$N$333)*100</f>
        <v>5.0208897453624637</v>
      </c>
      <c r="D360" s="169">
        <f t="shared" si="78"/>
        <v>50.439942536565766</v>
      </c>
      <c r="E360" s="168">
        <f>('Pivot Table for Data Exchange'!$N$336)*100</f>
        <v>50.057824640203997</v>
      </c>
      <c r="F360" s="168">
        <f>('Pivot Table for Data Exchange'!$N$339)*100</f>
        <v>0.38211789636176874</v>
      </c>
      <c r="G360" s="176">
        <f>('Pivot Table for Data Exchange'!$N$342)*100</f>
        <v>0</v>
      </c>
      <c r="H360" s="168">
        <f>('Pivot Table for Data Exchange'!$N$345)*100</f>
        <v>0</v>
      </c>
      <c r="I360" s="139"/>
      <c r="J360" s="207"/>
      <c r="K360" s="207"/>
      <c r="L360" s="207"/>
      <c r="M360" s="207"/>
      <c r="N360" s="207"/>
      <c r="O360" s="207"/>
      <c r="P360" s="207"/>
      <c r="Q360" s="173">
        <f t="shared" si="74"/>
        <v>100</v>
      </c>
      <c r="R360" s="173"/>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row>
    <row r="361" spans="1:41" ht="15.75" customHeight="1">
      <c r="A361" s="139" t="s">
        <v>628</v>
      </c>
      <c r="B361" s="168">
        <f>('Pivot Table for Data Exchange'!$N$366)*100</f>
        <v>0</v>
      </c>
      <c r="C361" s="168">
        <f>('Pivot Table for Data Exchange'!$N$369)*100</f>
        <v>0</v>
      </c>
      <c r="D361" s="169">
        <f t="shared" si="78"/>
        <v>0</v>
      </c>
      <c r="E361" s="168">
        <f>('Pivot Table for Data Exchange'!$N$372)*100</f>
        <v>0</v>
      </c>
      <c r="F361" s="168">
        <f>('Pivot Table for Data Exchange'!$N$375)*100</f>
        <v>0</v>
      </c>
      <c r="G361" s="176">
        <f>('Pivot Table for Data Exchange'!$N$378)*100</f>
        <v>0</v>
      </c>
      <c r="H361" s="168">
        <f>('Pivot Table for Data Exchange'!$N$381)*100</f>
        <v>0</v>
      </c>
      <c r="I361" s="139"/>
      <c r="J361" s="207"/>
      <c r="K361" s="207"/>
      <c r="L361" s="207"/>
      <c r="M361" s="207"/>
      <c r="N361" s="207"/>
      <c r="O361" s="207"/>
      <c r="P361" s="207"/>
      <c r="Q361" s="173">
        <f t="shared" si="74"/>
        <v>0</v>
      </c>
      <c r="R361" s="173"/>
      <c r="S361" s="174"/>
      <c r="T361" s="148"/>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row>
    <row r="362" spans="1:41" ht="15.75" customHeight="1">
      <c r="A362" s="139" t="s">
        <v>629</v>
      </c>
      <c r="B362" s="168">
        <f>('Pivot Table for Data Exchange'!$N$402)*100</f>
        <v>57.299097338322767</v>
      </c>
      <c r="C362" s="168">
        <f>('Pivot Table for Data Exchange'!$N$405)*100</f>
        <v>12.431261853606051</v>
      </c>
      <c r="D362" s="169">
        <f>SUM(E362:G362)</f>
        <v>30.269640808071177</v>
      </c>
      <c r="E362" s="168">
        <f>('Pivot Table for Data Exchange'!$N$408)*100</f>
        <v>27.725095084222318</v>
      </c>
      <c r="F362" s="168">
        <f>('Pivot Table for Data Exchange'!$N$411)*100</f>
        <v>0.85090589641352876</v>
      </c>
      <c r="G362" s="176">
        <f>('Pivot Table for Data Exchange'!$N$414)*100</f>
        <v>1.693639827435331</v>
      </c>
      <c r="H362" s="168">
        <f>('Pivot Table for Data Exchange'!$N$417)*100</f>
        <v>0</v>
      </c>
      <c r="I362" s="139"/>
      <c r="J362" s="207"/>
      <c r="K362" s="207"/>
      <c r="L362" s="207"/>
      <c r="M362" s="207"/>
      <c r="N362" s="207"/>
      <c r="O362" s="207"/>
      <c r="P362" s="207"/>
      <c r="Q362" s="173">
        <f t="shared" si="74"/>
        <v>99.999999999999986</v>
      </c>
      <c r="R362" s="173"/>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row>
    <row r="363" spans="1:41" ht="12" customHeight="1">
      <c r="B363" s="168"/>
      <c r="C363" s="168"/>
      <c r="D363" s="169"/>
      <c r="E363" s="168"/>
      <c r="F363" s="168"/>
      <c r="G363" s="176"/>
      <c r="H363" s="168"/>
      <c r="I363" s="139"/>
      <c r="J363" s="207"/>
      <c r="K363" s="207"/>
      <c r="L363" s="207"/>
      <c r="M363" s="207"/>
      <c r="N363" s="207"/>
      <c r="O363" s="207"/>
      <c r="P363" s="207"/>
      <c r="Q363" s="173">
        <f t="shared" si="74"/>
        <v>0</v>
      </c>
      <c r="R363" s="173"/>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row>
    <row r="364" spans="1:41" ht="15.75" customHeight="1">
      <c r="A364" s="139" t="s">
        <v>630</v>
      </c>
      <c r="B364" s="168">
        <f>('Pivot Table for Data Exchange'!$N$438)*100</f>
        <v>30.907537497626731</v>
      </c>
      <c r="C364" s="168">
        <f>('Pivot Table for Data Exchange'!$N$441)*100</f>
        <v>36.797038162141639</v>
      </c>
      <c r="D364" s="169">
        <f>SUM(E364:G364)</f>
        <v>31.877729257641924</v>
      </c>
      <c r="E364" s="168">
        <f>('Pivot Table for Data Exchange'!$N$444)*100</f>
        <v>24.108600721473326</v>
      </c>
      <c r="F364" s="168">
        <f>('Pivot Table for Data Exchange'!$N$447)*100</f>
        <v>6.4287070438579841</v>
      </c>
      <c r="G364" s="176">
        <f>('Pivot Table for Data Exchange'!$N$450)*100</f>
        <v>1.3404214923106132</v>
      </c>
      <c r="H364" s="168">
        <f>('Pivot Table for Data Exchange'!$N$453)*100</f>
        <v>0.4176950825897095</v>
      </c>
      <c r="I364" s="139"/>
      <c r="J364" s="207"/>
      <c r="K364" s="207"/>
      <c r="L364" s="207"/>
      <c r="M364" s="207"/>
      <c r="N364" s="207"/>
      <c r="O364" s="207"/>
      <c r="P364" s="207"/>
      <c r="Q364" s="173">
        <f t="shared" si="74"/>
        <v>100</v>
      </c>
      <c r="R364" s="173"/>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row>
    <row r="365" spans="1:41" ht="15.75" customHeight="1">
      <c r="A365" s="139" t="s">
        <v>631</v>
      </c>
      <c r="B365" s="168">
        <f>('Pivot Table for Data Exchange'!$N$474)*100</f>
        <v>0</v>
      </c>
      <c r="C365" s="168">
        <f>('Pivot Table for Data Exchange'!$N$477)*100</f>
        <v>0</v>
      </c>
      <c r="D365" s="169">
        <f>SUM(E365:G365)</f>
        <v>0</v>
      </c>
      <c r="E365" s="168">
        <f>('Pivot Table for Data Exchange'!$N$480)*100</f>
        <v>0</v>
      </c>
      <c r="F365" s="168">
        <f>('Pivot Table for Data Exchange'!$N$483)*100</f>
        <v>0</v>
      </c>
      <c r="G365" s="176">
        <f>('Pivot Table for Data Exchange'!$N$486)*100</f>
        <v>0</v>
      </c>
      <c r="H365" s="168">
        <f>('Pivot Table for Data Exchange'!$N$489)*100</f>
        <v>0</v>
      </c>
      <c r="I365" s="139"/>
      <c r="J365" s="207"/>
      <c r="K365" s="207"/>
      <c r="L365" s="207"/>
      <c r="M365" s="207"/>
      <c r="N365" s="207"/>
      <c r="O365" s="207"/>
      <c r="P365" s="207"/>
      <c r="Q365" s="173">
        <f t="shared" si="74"/>
        <v>0</v>
      </c>
      <c r="R365" s="173"/>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row>
    <row r="366" spans="1:41" ht="15.75" customHeight="1">
      <c r="A366" s="139" t="s">
        <v>632</v>
      </c>
      <c r="B366" s="168">
        <f>('Pivot Table for Data Exchange'!$N$510)*100</f>
        <v>36.776303851182526</v>
      </c>
      <c r="C366" s="168">
        <f>('Pivot Table for Data Exchange'!$N$513)*100</f>
        <v>23.405111645674456</v>
      </c>
      <c r="D366" s="169">
        <f t="shared" ref="D366" si="79">SUM(E366:G366)</f>
        <v>39.818584503143022</v>
      </c>
      <c r="E366" s="168">
        <f>('Pivot Table for Data Exchange'!$N$516)*100</f>
        <v>33.696567575993043</v>
      </c>
      <c r="F366" s="168">
        <f>('Pivot Table for Data Exchange'!$N$519)*100</f>
        <v>6.1220169271499758</v>
      </c>
      <c r="G366" s="176">
        <f>('Pivot Table for Data Exchange'!$N$522)*100</f>
        <v>0</v>
      </c>
      <c r="H366" s="168">
        <f>('Pivot Table for Data Exchange'!$N$525)*100</f>
        <v>0</v>
      </c>
      <c r="I366" s="139"/>
      <c r="J366" s="207"/>
      <c r="K366" s="207"/>
      <c r="L366" s="207"/>
      <c r="M366" s="207"/>
      <c r="N366" s="207"/>
      <c r="O366" s="207"/>
      <c r="P366" s="207"/>
      <c r="Q366" s="173">
        <f t="shared" si="74"/>
        <v>100</v>
      </c>
      <c r="R366" s="173"/>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row>
    <row r="367" spans="1:41" ht="15.75" customHeight="1">
      <c r="A367" s="145" t="s">
        <v>633</v>
      </c>
      <c r="B367" s="181">
        <f>('Pivot Table for Data Exchange'!$N$546)*100</f>
        <v>51.645183254678216</v>
      </c>
      <c r="C367" s="181">
        <f>('Pivot Table for Data Exchange'!$N$549)*100</f>
        <v>13.435232795661056</v>
      </c>
      <c r="D367" s="182">
        <f>SUM(E367:G367)</f>
        <v>34.919583949660719</v>
      </c>
      <c r="E367" s="181">
        <f>('Pivot Table for Data Exchange'!$N$552)*100</f>
        <v>32.906482590218587</v>
      </c>
      <c r="F367" s="181">
        <f>('Pivot Table for Data Exchange'!$N$555)*100</f>
        <v>2.0131013594421354</v>
      </c>
      <c r="G367" s="183">
        <f>('Pivot Table for Data Exchange'!$N$558)*100</f>
        <v>0</v>
      </c>
      <c r="H367" s="181">
        <f>('Pivot Table for Data Exchange'!$N$561)*100</f>
        <v>0</v>
      </c>
      <c r="I367" s="139"/>
      <c r="J367" s="207"/>
      <c r="K367" s="207"/>
      <c r="L367" s="207"/>
      <c r="M367" s="207"/>
      <c r="N367" s="207"/>
      <c r="O367" s="207"/>
      <c r="P367" s="207"/>
      <c r="Q367" s="173">
        <f t="shared" si="74"/>
        <v>99.999999999999986</v>
      </c>
      <c r="R367" s="173"/>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row>
    <row r="368" spans="1:41" s="186" customFormat="1" ht="11.25" customHeight="1">
      <c r="A368" s="187" t="s">
        <v>658</v>
      </c>
      <c r="B368" s="188"/>
      <c r="C368" s="188"/>
      <c r="D368" s="189"/>
      <c r="E368" s="188"/>
      <c r="F368" s="189"/>
      <c r="G368" s="189"/>
      <c r="H368" s="188"/>
      <c r="I368" s="197"/>
      <c r="J368" s="188"/>
      <c r="K368" s="188"/>
      <c r="L368" s="189"/>
      <c r="M368" s="188"/>
      <c r="N368" s="189"/>
      <c r="O368" s="189"/>
      <c r="P368" s="188"/>
      <c r="Q368" s="173">
        <f t="shared" si="74"/>
        <v>0</v>
      </c>
      <c r="R368" s="208"/>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row>
    <row r="369" spans="1:41" s="186" customFormat="1" ht="24" customHeight="1">
      <c r="A369" s="492" t="s">
        <v>673</v>
      </c>
      <c r="B369" s="505"/>
      <c r="C369" s="505"/>
      <c r="D369" s="505"/>
      <c r="E369" s="505"/>
      <c r="F369" s="505"/>
      <c r="G369" s="505"/>
      <c r="H369" s="505"/>
      <c r="I369" s="197"/>
      <c r="P369" s="199"/>
      <c r="Q369" s="173">
        <f t="shared" si="74"/>
        <v>0</v>
      </c>
      <c r="R369" s="209"/>
    </row>
    <row r="370" spans="1:41" s="186" customFormat="1" ht="13.5" customHeight="1">
      <c r="A370" s="197"/>
      <c r="I370" s="197"/>
      <c r="Q370" s="173">
        <f t="shared" si="74"/>
        <v>0</v>
      </c>
      <c r="R370" s="209"/>
    </row>
    <row r="371" spans="1:41" s="186" customFormat="1">
      <c r="B371" s="188"/>
      <c r="C371" s="188"/>
      <c r="D371" s="189"/>
      <c r="E371" s="188"/>
      <c r="F371" s="189"/>
      <c r="G371" s="189"/>
      <c r="H371" s="192" t="s">
        <v>923</v>
      </c>
      <c r="I371" s="213"/>
      <c r="Q371" s="173">
        <f t="shared" si="74"/>
        <v>0</v>
      </c>
      <c r="R371" s="208"/>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row>
    <row r="372" spans="1:41" ht="18">
      <c r="A372" s="134" t="s">
        <v>679</v>
      </c>
      <c r="B372" s="135"/>
      <c r="C372" s="135"/>
      <c r="D372" s="135"/>
      <c r="E372" s="135"/>
      <c r="F372" s="135"/>
      <c r="G372" s="135"/>
      <c r="H372" s="135"/>
      <c r="Q372" s="173">
        <f t="shared" si="74"/>
        <v>0</v>
      </c>
    </row>
    <row r="373" spans="1:41" ht="13">
      <c r="A373" s="140"/>
      <c r="B373" s="136"/>
      <c r="C373" s="136"/>
      <c r="D373" s="136"/>
      <c r="E373" s="136"/>
      <c r="F373" s="136"/>
      <c r="G373" s="136"/>
      <c r="H373" s="136"/>
      <c r="Q373" s="173">
        <f t="shared" si="74"/>
        <v>0</v>
      </c>
    </row>
    <row r="374" spans="1:41" ht="15.5">
      <c r="A374" s="142" t="s">
        <v>639</v>
      </c>
      <c r="B374" s="136"/>
      <c r="C374" s="136"/>
      <c r="D374" s="136"/>
      <c r="E374" s="136"/>
      <c r="F374" s="136"/>
      <c r="G374" s="136"/>
      <c r="H374" s="136"/>
      <c r="Q374" s="173">
        <f t="shared" si="74"/>
        <v>0</v>
      </c>
    </row>
    <row r="375" spans="1:41" ht="15.5">
      <c r="A375" s="142" t="s">
        <v>758</v>
      </c>
      <c r="B375" s="136"/>
      <c r="C375" s="136"/>
      <c r="D375" s="136"/>
      <c r="E375" s="136"/>
      <c r="F375" s="136"/>
      <c r="G375" s="136"/>
      <c r="H375" s="136"/>
      <c r="Q375" s="173">
        <f t="shared" si="74"/>
        <v>0</v>
      </c>
    </row>
    <row r="376" spans="1:41">
      <c r="A376" s="145"/>
      <c r="B376" s="146"/>
      <c r="C376" s="146"/>
      <c r="D376" s="146"/>
      <c r="E376" s="146"/>
      <c r="F376" s="146"/>
      <c r="G376" s="146"/>
      <c r="H376" s="146"/>
      <c r="Q376" s="173">
        <f t="shared" si="74"/>
        <v>0</v>
      </c>
    </row>
    <row r="377" spans="1:41">
      <c r="A377" s="150"/>
      <c r="B377" s="151" t="s">
        <v>641</v>
      </c>
      <c r="C377" s="151"/>
      <c r="D377" s="151"/>
      <c r="E377" s="151"/>
      <c r="F377" s="151"/>
      <c r="G377" s="151"/>
      <c r="H377" s="152"/>
      <c r="Q377" s="173">
        <f t="shared" si="74"/>
        <v>0</v>
      </c>
    </row>
    <row r="378" spans="1:41">
      <c r="A378" s="150"/>
      <c r="B378" s="151" t="s">
        <v>642</v>
      </c>
      <c r="C378" s="151"/>
      <c r="D378" s="487" t="s">
        <v>643</v>
      </c>
      <c r="E378" s="485"/>
      <c r="F378" s="485"/>
      <c r="G378" s="485"/>
      <c r="H378" s="158" t="s">
        <v>533</v>
      </c>
      <c r="Q378" s="173">
        <f t="shared" si="74"/>
        <v>0</v>
      </c>
    </row>
    <row r="379" spans="1:41" ht="34.5">
      <c r="A379" s="150"/>
      <c r="B379" s="159" t="s">
        <v>644</v>
      </c>
      <c r="C379" s="160" t="s">
        <v>645</v>
      </c>
      <c r="D379" s="161" t="s">
        <v>646</v>
      </c>
      <c r="E379" s="162" t="s">
        <v>8</v>
      </c>
      <c r="F379" s="159" t="s">
        <v>647</v>
      </c>
      <c r="G379" s="163" t="s">
        <v>656</v>
      </c>
      <c r="H379" s="164" t="s">
        <v>649</v>
      </c>
      <c r="Q379" s="173">
        <f t="shared" si="74"/>
        <v>0</v>
      </c>
    </row>
    <row r="380" spans="1:41" ht="15.75" customHeight="1">
      <c r="A380" s="194" t="s">
        <v>618</v>
      </c>
      <c r="B380" s="168">
        <f>('Pivot Table for Data Exchange'!$R$6)*100</f>
        <v>81.477216831373255</v>
      </c>
      <c r="C380" s="168">
        <f>('Pivot Table for Data Exchange'!$R$9)*100</f>
        <v>5.1714886195948671</v>
      </c>
      <c r="D380" s="169">
        <f>SUM(E380:G380)</f>
        <v>13.351294549031884</v>
      </c>
      <c r="E380" s="168">
        <f>('Pivot Table for Data Exchange'!$R$12)*100</f>
        <v>13.351294549031884</v>
      </c>
      <c r="F380" s="168">
        <f>('Pivot Table for Data Exchange'!$R$15)*100</f>
        <v>0</v>
      </c>
      <c r="G380" s="172">
        <f>('Pivot Table for Data Exchange'!$R$18)*100</f>
        <v>0</v>
      </c>
      <c r="H380" s="168">
        <f>('Pivot Table for Data Exchange'!$R$21)*100</f>
        <v>0</v>
      </c>
      <c r="I380" s="139"/>
      <c r="J380" s="207"/>
      <c r="K380" s="207"/>
      <c r="L380" s="207"/>
      <c r="M380" s="207"/>
      <c r="N380" s="207"/>
      <c r="O380" s="207"/>
      <c r="P380" s="207"/>
      <c r="Q380" s="173">
        <f t="shared" si="74"/>
        <v>100</v>
      </c>
      <c r="R380" s="173"/>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row>
    <row r="381" spans="1:41" ht="15.75" customHeight="1">
      <c r="A381" s="139" t="s">
        <v>619</v>
      </c>
      <c r="B381" s="168">
        <f>('Pivot Table for Data Exchange'!$R$42)*100</f>
        <v>0</v>
      </c>
      <c r="C381" s="168">
        <f>('Pivot Table for Data Exchange'!$R$45)*100</f>
        <v>0</v>
      </c>
      <c r="D381" s="169">
        <f t="shared" ref="D381:D383" si="80">SUM(E381:G381)</f>
        <v>0</v>
      </c>
      <c r="E381" s="168">
        <f>('Pivot Table for Data Exchange'!$R$48)*100</f>
        <v>0</v>
      </c>
      <c r="F381" s="168">
        <f>('Pivot Table for Data Exchange'!$R$51)*100</f>
        <v>0</v>
      </c>
      <c r="G381" s="176">
        <f>('Pivot Table for Data Exchange'!$R$54)*100</f>
        <v>0</v>
      </c>
      <c r="H381" s="168">
        <f>('Pivot Table for Data Exchange'!$R$57)*100</f>
        <v>0</v>
      </c>
      <c r="I381" s="139"/>
      <c r="J381" s="207"/>
      <c r="K381" s="207"/>
      <c r="L381" s="207"/>
      <c r="M381" s="207"/>
      <c r="N381" s="207"/>
      <c r="O381" s="207"/>
      <c r="P381" s="207"/>
      <c r="Q381" s="173">
        <f t="shared" si="74"/>
        <v>0</v>
      </c>
      <c r="R381" s="173"/>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row>
    <row r="382" spans="1:41" ht="15.75" customHeight="1">
      <c r="A382" s="139" t="s">
        <v>620</v>
      </c>
      <c r="B382" s="168">
        <f>('Pivot Table for Data Exchange'!$R$78)*100</f>
        <v>0</v>
      </c>
      <c r="C382" s="168">
        <f>('Pivot Table for Data Exchange'!$R$81)*100</f>
        <v>0</v>
      </c>
      <c r="D382" s="169">
        <f t="shared" si="80"/>
        <v>0</v>
      </c>
      <c r="E382" s="168">
        <f>('Pivot Table for Data Exchange'!$R$84)*100</f>
        <v>0</v>
      </c>
      <c r="F382" s="168">
        <f>('Pivot Table for Data Exchange'!$R$87)*100</f>
        <v>0</v>
      </c>
      <c r="G382" s="176">
        <f>('Pivot Table for Data Exchange'!$R$90)*100</f>
        <v>0</v>
      </c>
      <c r="H382" s="168">
        <f>('Pivot Table for Data Exchange'!$R$93)*100</f>
        <v>0</v>
      </c>
      <c r="I382" s="139"/>
      <c r="J382" s="207"/>
      <c r="K382" s="207"/>
      <c r="L382" s="207"/>
      <c r="M382" s="207"/>
      <c r="N382" s="207"/>
      <c r="O382" s="207"/>
      <c r="P382" s="207"/>
      <c r="Q382" s="173">
        <f t="shared" si="74"/>
        <v>0</v>
      </c>
      <c r="R382" s="173"/>
      <c r="S382" s="174"/>
      <c r="T382" s="148"/>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row>
    <row r="383" spans="1:41" ht="15.75" customHeight="1">
      <c r="A383" s="139" t="s">
        <v>621</v>
      </c>
      <c r="B383" s="168">
        <f>('Pivot Table for Data Exchange'!$R$114)*100</f>
        <v>0</v>
      </c>
      <c r="C383" s="168">
        <f>('Pivot Table for Data Exchange'!$R$117)*100</f>
        <v>0</v>
      </c>
      <c r="D383" s="169">
        <f t="shared" si="80"/>
        <v>0</v>
      </c>
      <c r="E383" s="168">
        <f>('Pivot Table for Data Exchange'!$R$120)*100</f>
        <v>0</v>
      </c>
      <c r="F383" s="168">
        <f>('Pivot Table for Data Exchange'!$R$123)*100</f>
        <v>0</v>
      </c>
      <c r="G383" s="176">
        <f>('Pivot Table for Data Exchange'!$R$126)*100</f>
        <v>0</v>
      </c>
      <c r="H383" s="168">
        <f>('Pivot Table for Data Exchange'!$R$129)*100</f>
        <v>0</v>
      </c>
      <c r="I383" s="139"/>
      <c r="J383" s="207"/>
      <c r="K383" s="207"/>
      <c r="L383" s="207"/>
      <c r="M383" s="207"/>
      <c r="N383" s="207"/>
      <c r="O383" s="207"/>
      <c r="P383" s="207"/>
      <c r="Q383" s="173">
        <f t="shared" si="74"/>
        <v>0</v>
      </c>
      <c r="R383" s="173"/>
      <c r="S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row>
    <row r="384" spans="1:41" ht="15.75" customHeight="1">
      <c r="B384" s="168"/>
      <c r="C384" s="168"/>
      <c r="D384" s="169"/>
      <c r="E384" s="168"/>
      <c r="F384" s="168"/>
      <c r="G384" s="176"/>
      <c r="H384" s="168"/>
      <c r="I384" s="139"/>
      <c r="J384" s="207"/>
      <c r="K384" s="207"/>
      <c r="L384" s="207"/>
      <c r="M384" s="207"/>
      <c r="N384" s="207"/>
      <c r="O384" s="207"/>
      <c r="P384" s="207"/>
      <c r="Q384" s="173">
        <f t="shared" si="74"/>
        <v>0</v>
      </c>
      <c r="R384" s="173"/>
      <c r="S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row>
    <row r="385" spans="1:41" ht="15.75" customHeight="1">
      <c r="A385" s="139" t="s">
        <v>622</v>
      </c>
      <c r="B385" s="168">
        <f>('Pivot Table for Data Exchange'!$R$150)*100</f>
        <v>61.294044341152464</v>
      </c>
      <c r="C385" s="168">
        <f>('Pivot Table for Data Exchange'!$R$153)*100</f>
        <v>0</v>
      </c>
      <c r="D385" s="169">
        <f t="shared" ref="D385:D388" si="81">SUM(E385:G385)</f>
        <v>38.705955658847536</v>
      </c>
      <c r="E385" s="168">
        <f>('Pivot Table for Data Exchange'!$R$156)*100</f>
        <v>38.131657777123372</v>
      </c>
      <c r="F385" s="168">
        <f>('Pivot Table for Data Exchange'!$R$159)*100</f>
        <v>0.57429788172416307</v>
      </c>
      <c r="G385" s="176">
        <f>('Pivot Table for Data Exchange'!$R$162)*100</f>
        <v>0</v>
      </c>
      <c r="H385" s="168">
        <f>('Pivot Table for Data Exchange'!$R$165)*100</f>
        <v>0</v>
      </c>
      <c r="I385" s="139"/>
      <c r="J385" s="207"/>
      <c r="K385" s="207"/>
      <c r="L385" s="207"/>
      <c r="M385" s="207"/>
      <c r="N385" s="207"/>
      <c r="O385" s="207"/>
      <c r="P385" s="207"/>
      <c r="Q385" s="173">
        <f t="shared" si="74"/>
        <v>100</v>
      </c>
      <c r="R385" s="173"/>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row>
    <row r="386" spans="1:41" ht="15.75" customHeight="1">
      <c r="A386" s="139" t="s">
        <v>623</v>
      </c>
      <c r="B386" s="168">
        <f>('Pivot Table for Data Exchange'!$R$186)*100</f>
        <v>61.106332913326511</v>
      </c>
      <c r="C386" s="168">
        <f>('Pivot Table for Data Exchange'!$R$189)*100</f>
        <v>5.3021816409776514</v>
      </c>
      <c r="D386" s="169">
        <f t="shared" si="81"/>
        <v>33.591485445695838</v>
      </c>
      <c r="E386" s="168">
        <f>('Pivot Table for Data Exchange'!$R$192)*100</f>
        <v>33.591485445695838</v>
      </c>
      <c r="F386" s="168">
        <f>('Pivot Table for Data Exchange'!$R$195)*100</f>
        <v>0</v>
      </c>
      <c r="G386" s="176">
        <f>('Pivot Table for Data Exchange'!$R$198)*100</f>
        <v>0</v>
      </c>
      <c r="H386" s="168">
        <f>('Pivot Table for Data Exchange'!$R$201)*100</f>
        <v>0</v>
      </c>
      <c r="I386" s="139"/>
      <c r="J386" s="207"/>
      <c r="K386" s="207"/>
      <c r="L386" s="207"/>
      <c r="M386" s="207"/>
      <c r="N386" s="207"/>
      <c r="O386" s="207"/>
      <c r="P386" s="207"/>
      <c r="Q386" s="173">
        <f t="shared" si="74"/>
        <v>100</v>
      </c>
      <c r="R386" s="173"/>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row>
    <row r="387" spans="1:41" ht="15.75" customHeight="1">
      <c r="A387" s="139" t="s">
        <v>624</v>
      </c>
      <c r="B387" s="168">
        <f>('Pivot Table for Data Exchange'!$R$222)*100</f>
        <v>79.975754359433083</v>
      </c>
      <c r="C387" s="168">
        <f>('Pivot Table for Data Exchange'!$R$225)*100</f>
        <v>0</v>
      </c>
      <c r="D387" s="169">
        <f t="shared" si="81"/>
        <v>20.024245640566907</v>
      </c>
      <c r="E387" s="168">
        <f>('Pivot Table for Data Exchange'!$R$228)*100</f>
        <v>20.024245640566907</v>
      </c>
      <c r="F387" s="168">
        <f>('Pivot Table for Data Exchange'!$R$231)*100</f>
        <v>0</v>
      </c>
      <c r="G387" s="176">
        <f>('Pivot Table for Data Exchange'!$R$234)*100</f>
        <v>0</v>
      </c>
      <c r="H387" s="168">
        <f>('Pivot Table for Data Exchange'!$R$237)*100</f>
        <v>0</v>
      </c>
      <c r="I387" s="214"/>
      <c r="J387" s="207"/>
      <c r="K387" s="207"/>
      <c r="L387" s="207"/>
      <c r="M387" s="207"/>
      <c r="N387" s="207"/>
      <c r="O387" s="207"/>
      <c r="P387" s="207"/>
      <c r="Q387" s="173">
        <f>SUM(I387,C387,D387,H387)</f>
        <v>20.024245640566907</v>
      </c>
      <c r="R387" s="173"/>
      <c r="S387" s="174"/>
      <c r="T387" s="148"/>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row>
    <row r="388" spans="1:41" ht="15.75" customHeight="1">
      <c r="A388" s="139" t="s">
        <v>625</v>
      </c>
      <c r="B388" s="168">
        <f>('Pivot Table for Data Exchange'!$R$258)*100</f>
        <v>0</v>
      </c>
      <c r="C388" s="168">
        <f>('Pivot Table for Data Exchange'!$R$261)*100</f>
        <v>0</v>
      </c>
      <c r="D388" s="169">
        <f t="shared" si="81"/>
        <v>0</v>
      </c>
      <c r="E388" s="168">
        <f>('Pivot Table for Data Exchange'!$R$264)*100</f>
        <v>0</v>
      </c>
      <c r="F388" s="168">
        <f>('Pivot Table for Data Exchange'!$R$267)*100</f>
        <v>0</v>
      </c>
      <c r="G388" s="176">
        <f>('Pivot Table for Data Exchange'!$R$270)*100</f>
        <v>0</v>
      </c>
      <c r="H388" s="168">
        <f>('Pivot Table for Data Exchange'!$R$273)*100</f>
        <v>0</v>
      </c>
      <c r="I388" s="139"/>
      <c r="J388" s="207"/>
      <c r="K388" s="207"/>
      <c r="L388" s="207"/>
      <c r="M388" s="207"/>
      <c r="N388" s="207"/>
      <c r="O388" s="207"/>
      <c r="P388" s="207"/>
      <c r="Q388" s="173">
        <f t="shared" si="74"/>
        <v>0</v>
      </c>
      <c r="R388" s="173"/>
      <c r="S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row>
    <row r="389" spans="1:41" ht="15.75" customHeight="1">
      <c r="B389" s="168"/>
      <c r="C389" s="168"/>
      <c r="D389" s="169"/>
      <c r="E389" s="168"/>
      <c r="F389" s="168"/>
      <c r="G389" s="176"/>
      <c r="H389" s="168"/>
      <c r="I389" s="139"/>
      <c r="J389" s="207"/>
      <c r="K389" s="207"/>
      <c r="L389" s="207"/>
      <c r="M389" s="207"/>
      <c r="N389" s="207"/>
      <c r="O389" s="207"/>
      <c r="P389" s="207"/>
      <c r="Q389" s="173">
        <f t="shared" si="74"/>
        <v>0</v>
      </c>
      <c r="R389" s="173"/>
      <c r="S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row>
    <row r="390" spans="1:41" ht="15.75" customHeight="1">
      <c r="A390" s="139" t="s">
        <v>626</v>
      </c>
      <c r="B390" s="168">
        <f>('Pivot Table for Data Exchange'!$R$294)*100</f>
        <v>0</v>
      </c>
      <c r="C390" s="168">
        <f>('Pivot Table for Data Exchange'!$R$297)*100</f>
        <v>0</v>
      </c>
      <c r="D390" s="169">
        <f t="shared" ref="D390:D392" si="82">SUM(E390:G390)</f>
        <v>0</v>
      </c>
      <c r="E390" s="168">
        <f>('Pivot Table for Data Exchange'!$R$300)*100</f>
        <v>0</v>
      </c>
      <c r="F390" s="168">
        <f>('Pivot Table for Data Exchange'!$R$303)*100</f>
        <v>0</v>
      </c>
      <c r="G390" s="176">
        <f>('Pivot Table for Data Exchange'!$R$306)*100</f>
        <v>0</v>
      </c>
      <c r="H390" s="168">
        <f>('Pivot Table for Data Exchange'!$R$309)*100</f>
        <v>0</v>
      </c>
      <c r="I390" s="139"/>
      <c r="J390" s="207"/>
      <c r="K390" s="207"/>
      <c r="L390" s="207"/>
      <c r="M390" s="207"/>
      <c r="N390" s="207"/>
      <c r="O390" s="207"/>
      <c r="P390" s="207"/>
      <c r="Q390" s="173">
        <f t="shared" si="74"/>
        <v>0</v>
      </c>
      <c r="R390" s="173"/>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row>
    <row r="391" spans="1:41" ht="15.75" customHeight="1">
      <c r="A391" s="139" t="s">
        <v>627</v>
      </c>
      <c r="B391" s="168">
        <f>('Pivot Table for Data Exchange'!$R$330)*100</f>
        <v>0</v>
      </c>
      <c r="C391" s="168">
        <f>('Pivot Table for Data Exchange'!$R$333)*100</f>
        <v>0</v>
      </c>
      <c r="D391" s="169">
        <f t="shared" si="82"/>
        <v>0</v>
      </c>
      <c r="E391" s="168">
        <f>('Pivot Table for Data Exchange'!$R$336)*100</f>
        <v>0</v>
      </c>
      <c r="F391" s="168">
        <f>('Pivot Table for Data Exchange'!$R$339)*100</f>
        <v>0</v>
      </c>
      <c r="G391" s="176">
        <f>('Pivot Table for Data Exchange'!$R$342)*100</f>
        <v>0</v>
      </c>
      <c r="H391" s="168">
        <f>('Pivot Table for Data Exchange'!$R$345)*100</f>
        <v>0</v>
      </c>
      <c r="I391" s="139"/>
      <c r="J391" s="207"/>
      <c r="K391" s="207"/>
      <c r="L391" s="207"/>
      <c r="M391" s="207"/>
      <c r="N391" s="207"/>
      <c r="O391" s="207"/>
      <c r="P391" s="207"/>
      <c r="Q391" s="173">
        <f t="shared" si="74"/>
        <v>0</v>
      </c>
      <c r="R391" s="173"/>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row>
    <row r="392" spans="1:41" ht="15.75" customHeight="1">
      <c r="A392" s="139" t="s">
        <v>628</v>
      </c>
      <c r="B392" s="168">
        <f>('Pivot Table for Data Exchange'!$R$366)*100</f>
        <v>0</v>
      </c>
      <c r="C392" s="168">
        <f>('Pivot Table for Data Exchange'!$R$369)*100</f>
        <v>0</v>
      </c>
      <c r="D392" s="169">
        <f t="shared" si="82"/>
        <v>0</v>
      </c>
      <c r="E392" s="168">
        <f>('Pivot Table for Data Exchange'!$R$372)*100</f>
        <v>0</v>
      </c>
      <c r="F392" s="168">
        <f>('Pivot Table for Data Exchange'!$R$375)*100</f>
        <v>0</v>
      </c>
      <c r="G392" s="176">
        <f>('Pivot Table for Data Exchange'!$R$378)*100</f>
        <v>0</v>
      </c>
      <c r="H392" s="168">
        <f>('Pivot Table for Data Exchange'!$R$381)*100</f>
        <v>0</v>
      </c>
      <c r="I392" s="139"/>
      <c r="J392" s="207"/>
      <c r="K392" s="207"/>
      <c r="L392" s="207"/>
      <c r="M392" s="207"/>
      <c r="N392" s="207"/>
      <c r="O392" s="207"/>
      <c r="P392" s="207"/>
      <c r="Q392" s="173">
        <f t="shared" si="74"/>
        <v>0</v>
      </c>
      <c r="R392" s="173"/>
      <c r="S392" s="174"/>
      <c r="T392" s="148"/>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row>
    <row r="393" spans="1:41" ht="15.75" customHeight="1">
      <c r="A393" s="139" t="s">
        <v>629</v>
      </c>
      <c r="B393" s="168">
        <f>('Pivot Table for Data Exchange'!$R$402)*100</f>
        <v>0</v>
      </c>
      <c r="C393" s="168">
        <f>('Pivot Table for Data Exchange'!$R$405)*100</f>
        <v>0</v>
      </c>
      <c r="D393" s="169">
        <f>SUM(E393:G393)</f>
        <v>0</v>
      </c>
      <c r="E393" s="168">
        <f>('Pivot Table for Data Exchange'!$R$408)*100</f>
        <v>0</v>
      </c>
      <c r="F393" s="168">
        <f>('Pivot Table for Data Exchange'!$R$411)*100</f>
        <v>0</v>
      </c>
      <c r="G393" s="176">
        <f>('Pivot Table for Data Exchange'!$R$414)*100</f>
        <v>0</v>
      </c>
      <c r="H393" s="168">
        <f>('Pivot Table for Data Exchange'!$R$417)*100</f>
        <v>0</v>
      </c>
      <c r="I393" s="139"/>
      <c r="J393" s="207"/>
      <c r="K393" s="207"/>
      <c r="L393" s="207"/>
      <c r="M393" s="207"/>
      <c r="N393" s="207"/>
      <c r="O393" s="207"/>
      <c r="P393" s="207"/>
      <c r="Q393" s="173">
        <f t="shared" si="74"/>
        <v>0</v>
      </c>
      <c r="R393" s="173"/>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row>
    <row r="394" spans="1:41" ht="15.75" customHeight="1">
      <c r="B394" s="168"/>
      <c r="C394" s="168"/>
      <c r="D394" s="169"/>
      <c r="E394" s="168"/>
      <c r="F394" s="168"/>
      <c r="G394" s="176"/>
      <c r="H394" s="168"/>
      <c r="I394" s="139"/>
      <c r="J394" s="207"/>
      <c r="K394" s="207"/>
      <c r="L394" s="207"/>
      <c r="M394" s="207"/>
      <c r="N394" s="207"/>
      <c r="O394" s="207"/>
      <c r="P394" s="207"/>
      <c r="Q394" s="173">
        <f t="shared" si="74"/>
        <v>0</v>
      </c>
      <c r="R394" s="173"/>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row>
    <row r="395" spans="1:41" ht="15.75" customHeight="1">
      <c r="A395" s="139" t="s">
        <v>630</v>
      </c>
      <c r="B395" s="168">
        <f>('Pivot Table for Data Exchange'!$R$438)*100</f>
        <v>0</v>
      </c>
      <c r="C395" s="168">
        <f>('Pivot Table for Data Exchange'!$R$441)*100</f>
        <v>0</v>
      </c>
      <c r="D395" s="169">
        <f>SUM(E395:G395)</f>
        <v>0</v>
      </c>
      <c r="E395" s="168">
        <f>('Pivot Table for Data Exchange'!$R$444)*100</f>
        <v>0</v>
      </c>
      <c r="F395" s="168">
        <f>('Pivot Table for Data Exchange'!$R$447)*100</f>
        <v>0</v>
      </c>
      <c r="G395" s="176">
        <f>('Pivot Table for Data Exchange'!$R$450)*100</f>
        <v>0</v>
      </c>
      <c r="H395" s="168">
        <f>('Pivot Table for Data Exchange'!$R$453)*100</f>
        <v>0</v>
      </c>
      <c r="I395" s="139"/>
      <c r="J395" s="207"/>
      <c r="K395" s="207"/>
      <c r="L395" s="207"/>
      <c r="M395" s="207"/>
      <c r="N395" s="207"/>
      <c r="O395" s="207"/>
      <c r="P395" s="207"/>
      <c r="Q395" s="173">
        <f t="shared" si="74"/>
        <v>0</v>
      </c>
      <c r="R395" s="173"/>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row>
    <row r="396" spans="1:41" ht="15.75" customHeight="1">
      <c r="A396" s="139" t="s">
        <v>631</v>
      </c>
      <c r="B396" s="168">
        <f>('Pivot Table for Data Exchange'!$R$474)*100</f>
        <v>0</v>
      </c>
      <c r="C396" s="168">
        <f>('Pivot Table for Data Exchange'!$R$477)*100</f>
        <v>0</v>
      </c>
      <c r="D396" s="169">
        <f>SUM(E396:G396)</f>
        <v>0</v>
      </c>
      <c r="E396" s="168">
        <f>('Pivot Table for Data Exchange'!$R$480)*100</f>
        <v>0</v>
      </c>
      <c r="F396" s="168">
        <f>('Pivot Table for Data Exchange'!$R$483)*100</f>
        <v>0</v>
      </c>
      <c r="G396" s="176">
        <f>('Pivot Table for Data Exchange'!$R$486)*100</f>
        <v>0</v>
      </c>
      <c r="H396" s="168">
        <f>('Pivot Table for Data Exchange'!$R$489)*100</f>
        <v>0</v>
      </c>
      <c r="I396" s="139"/>
      <c r="J396" s="207"/>
      <c r="K396" s="207"/>
      <c r="L396" s="207"/>
      <c r="M396" s="207"/>
      <c r="N396" s="207"/>
      <c r="O396" s="207"/>
      <c r="P396" s="207"/>
      <c r="Q396" s="173">
        <f t="shared" ref="Q396:Q457" si="83">SUM(B396,C396,D396,H396)</f>
        <v>0</v>
      </c>
      <c r="R396" s="173"/>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row>
    <row r="397" spans="1:41" ht="15.75" customHeight="1">
      <c r="A397" s="139" t="s">
        <v>632</v>
      </c>
      <c r="B397" s="168">
        <f>('Pivot Table for Data Exchange'!$R$510)*100</f>
        <v>0</v>
      </c>
      <c r="C397" s="168">
        <f>('Pivot Table for Data Exchange'!$R$513)*100</f>
        <v>0</v>
      </c>
      <c r="D397" s="169">
        <f t="shared" ref="D397" si="84">SUM(E397:G397)</f>
        <v>0</v>
      </c>
      <c r="E397" s="168">
        <f>('Pivot Table for Data Exchange'!$R$516)*100</f>
        <v>0</v>
      </c>
      <c r="F397" s="168">
        <f>('Pivot Table for Data Exchange'!$R$519)*100</f>
        <v>0</v>
      </c>
      <c r="G397" s="176">
        <f>('Pivot Table for Data Exchange'!$R$522)*100</f>
        <v>0</v>
      </c>
      <c r="H397" s="168">
        <f>('Pivot Table for Data Exchange'!$R$525)*100</f>
        <v>0</v>
      </c>
      <c r="I397" s="139"/>
      <c r="J397" s="207"/>
      <c r="K397" s="207"/>
      <c r="L397" s="207"/>
      <c r="M397" s="207"/>
      <c r="N397" s="207"/>
      <c r="O397" s="207"/>
      <c r="P397" s="207"/>
      <c r="Q397" s="173">
        <f t="shared" si="83"/>
        <v>0</v>
      </c>
      <c r="R397" s="173"/>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row>
    <row r="398" spans="1:41" ht="15.75" customHeight="1">
      <c r="A398" s="145" t="s">
        <v>633</v>
      </c>
      <c r="B398" s="181">
        <f>('Pivot Table for Data Exchange'!$R$546)*100</f>
        <v>0</v>
      </c>
      <c r="C398" s="181">
        <f>('Pivot Table for Data Exchange'!$R$549)*100</f>
        <v>0</v>
      </c>
      <c r="D398" s="182">
        <f>SUM(E398:G398)</f>
        <v>0</v>
      </c>
      <c r="E398" s="181">
        <f>('Pivot Table for Data Exchange'!$R$552)*100</f>
        <v>0</v>
      </c>
      <c r="F398" s="181">
        <f>('Pivot Table for Data Exchange'!$R$555)*100</f>
        <v>0</v>
      </c>
      <c r="G398" s="183">
        <f>('Pivot Table for Data Exchange'!$R$558)*100</f>
        <v>0</v>
      </c>
      <c r="H398" s="181">
        <f>('Pivot Table for Data Exchange'!$R$561)*100</f>
        <v>0</v>
      </c>
      <c r="I398" s="139"/>
      <c r="J398" s="207"/>
      <c r="K398" s="207"/>
      <c r="L398" s="207"/>
      <c r="M398" s="207"/>
      <c r="N398" s="207"/>
      <c r="O398" s="207"/>
      <c r="P398" s="207"/>
      <c r="Q398" s="173">
        <f t="shared" si="83"/>
        <v>0</v>
      </c>
      <c r="R398" s="173"/>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row>
    <row r="399" spans="1:41" s="186" customFormat="1" ht="12" customHeight="1">
      <c r="A399" s="187" t="s">
        <v>658</v>
      </c>
      <c r="B399" s="188"/>
      <c r="C399" s="188"/>
      <c r="D399" s="189"/>
      <c r="E399" s="188"/>
      <c r="F399" s="189"/>
      <c r="G399" s="189"/>
      <c r="H399" s="188"/>
      <c r="I399" s="197"/>
      <c r="J399" s="188"/>
      <c r="K399" s="188"/>
      <c r="L399" s="189"/>
      <c r="M399" s="188"/>
      <c r="N399" s="189"/>
      <c r="O399" s="189"/>
      <c r="P399" s="188"/>
      <c r="Q399" s="173">
        <f t="shared" si="83"/>
        <v>0</v>
      </c>
      <c r="R399" s="208"/>
      <c r="S399" s="190"/>
      <c r="T399" s="190"/>
      <c r="U399" s="190"/>
      <c r="V399" s="190"/>
      <c r="W399" s="190"/>
      <c r="X399" s="190"/>
      <c r="Y399" s="190"/>
      <c r="Z399" s="190"/>
      <c r="AA399" s="190"/>
      <c r="AB399" s="190"/>
      <c r="AC399" s="190"/>
      <c r="AD399" s="190"/>
      <c r="AE399" s="190"/>
      <c r="AF399" s="190"/>
      <c r="AG399" s="190"/>
      <c r="AH399" s="190"/>
      <c r="AI399" s="190"/>
      <c r="AJ399" s="190"/>
      <c r="AK399" s="190"/>
      <c r="AL399" s="190"/>
      <c r="AM399" s="190"/>
      <c r="AN399" s="190"/>
      <c r="AO399" s="190"/>
    </row>
    <row r="400" spans="1:41" s="186" customFormat="1" ht="13.5" customHeight="1">
      <c r="A400" s="197"/>
      <c r="B400" s="188"/>
      <c r="C400" s="188"/>
      <c r="D400" s="189"/>
      <c r="E400" s="188"/>
      <c r="F400" s="189"/>
      <c r="G400" s="189"/>
      <c r="H400" s="188"/>
      <c r="I400" s="197"/>
      <c r="J400" s="188"/>
      <c r="K400" s="188"/>
      <c r="L400" s="189"/>
      <c r="M400" s="188"/>
      <c r="N400" s="189"/>
      <c r="O400" s="189"/>
      <c r="P400" s="188"/>
      <c r="Q400" s="173">
        <f t="shared" si="83"/>
        <v>0</v>
      </c>
      <c r="R400" s="208"/>
      <c r="S400" s="190"/>
      <c r="T400" s="190"/>
      <c r="U400" s="190"/>
      <c r="V400" s="190"/>
      <c r="W400" s="190"/>
      <c r="X400" s="190"/>
      <c r="Y400" s="190"/>
      <c r="Z400" s="190"/>
      <c r="AA400" s="190"/>
      <c r="AB400" s="190"/>
      <c r="AC400" s="190"/>
      <c r="AD400" s="190"/>
      <c r="AE400" s="190"/>
      <c r="AF400" s="190"/>
      <c r="AG400" s="190"/>
      <c r="AH400" s="190"/>
      <c r="AI400" s="190"/>
      <c r="AJ400" s="190"/>
      <c r="AK400" s="190"/>
      <c r="AL400" s="190"/>
      <c r="AM400" s="190"/>
      <c r="AN400" s="190"/>
      <c r="AO400" s="190"/>
    </row>
    <row r="401" spans="1:41" ht="15.75" customHeight="1">
      <c r="B401" s="210"/>
      <c r="C401" s="210"/>
      <c r="D401" s="210"/>
      <c r="E401" s="210"/>
      <c r="F401" s="210"/>
      <c r="G401" s="210"/>
      <c r="H401" s="192" t="s">
        <v>923</v>
      </c>
      <c r="I401" s="139"/>
      <c r="J401" s="207"/>
      <c r="K401" s="207"/>
      <c r="L401" s="207"/>
      <c r="M401" s="207"/>
      <c r="N401" s="207"/>
      <c r="O401" s="207"/>
      <c r="P401" s="207"/>
      <c r="Q401" s="173">
        <f t="shared" si="83"/>
        <v>0</v>
      </c>
      <c r="R401" s="173"/>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row>
    <row r="402" spans="1:41" ht="18">
      <c r="A402" s="134" t="s">
        <v>680</v>
      </c>
      <c r="B402" s="135"/>
      <c r="C402" s="135"/>
      <c r="D402" s="135"/>
      <c r="E402" s="135"/>
      <c r="F402" s="135"/>
      <c r="G402" s="135"/>
      <c r="H402" s="135"/>
      <c r="Q402" s="173">
        <f t="shared" si="83"/>
        <v>0</v>
      </c>
    </row>
    <row r="403" spans="1:41" ht="13">
      <c r="A403" s="140"/>
      <c r="B403" s="136"/>
      <c r="C403" s="136"/>
      <c r="D403" s="136"/>
      <c r="E403" s="136"/>
      <c r="F403" s="136"/>
      <c r="G403" s="136"/>
      <c r="H403" s="136"/>
      <c r="Q403" s="173">
        <f t="shared" si="83"/>
        <v>0</v>
      </c>
    </row>
    <row r="404" spans="1:41" ht="15.5">
      <c r="A404" s="142" t="s">
        <v>639</v>
      </c>
      <c r="B404" s="136"/>
      <c r="C404" s="136"/>
      <c r="D404" s="136"/>
      <c r="E404" s="136"/>
      <c r="F404" s="136"/>
      <c r="G404" s="136"/>
      <c r="H404" s="136"/>
      <c r="Q404" s="173">
        <f t="shared" si="83"/>
        <v>0</v>
      </c>
    </row>
    <row r="405" spans="1:41" ht="15.5">
      <c r="A405" s="142" t="s">
        <v>759</v>
      </c>
      <c r="B405" s="136"/>
      <c r="C405" s="136"/>
      <c r="D405" s="136"/>
      <c r="E405" s="136"/>
      <c r="F405" s="136"/>
      <c r="G405" s="136"/>
      <c r="H405" s="136"/>
      <c r="Q405" s="173">
        <f t="shared" si="83"/>
        <v>0</v>
      </c>
    </row>
    <row r="406" spans="1:41">
      <c r="A406" s="145"/>
      <c r="B406" s="146"/>
      <c r="C406" s="146"/>
      <c r="D406" s="146"/>
      <c r="E406" s="146"/>
      <c r="F406" s="146"/>
      <c r="G406" s="146"/>
      <c r="H406" s="146"/>
      <c r="Q406" s="173">
        <f t="shared" si="83"/>
        <v>0</v>
      </c>
    </row>
    <row r="407" spans="1:41">
      <c r="A407" s="150"/>
      <c r="B407" s="151" t="s">
        <v>641</v>
      </c>
      <c r="C407" s="151"/>
      <c r="D407" s="151"/>
      <c r="E407" s="151"/>
      <c r="F407" s="151"/>
      <c r="G407" s="151"/>
      <c r="H407" s="152"/>
      <c r="Q407" s="173">
        <f t="shared" si="83"/>
        <v>0</v>
      </c>
    </row>
    <row r="408" spans="1:41">
      <c r="A408" s="150"/>
      <c r="B408" s="151" t="s">
        <v>642</v>
      </c>
      <c r="C408" s="151"/>
      <c r="D408" s="487" t="s">
        <v>643</v>
      </c>
      <c r="E408" s="485"/>
      <c r="F408" s="485"/>
      <c r="G408" s="485"/>
      <c r="H408" s="158" t="s">
        <v>533</v>
      </c>
      <c r="Q408" s="173">
        <f t="shared" si="83"/>
        <v>0</v>
      </c>
    </row>
    <row r="409" spans="1:41" ht="34.5">
      <c r="A409" s="150"/>
      <c r="B409" s="159" t="s">
        <v>644</v>
      </c>
      <c r="C409" s="160" t="s">
        <v>645</v>
      </c>
      <c r="D409" s="161" t="s">
        <v>646</v>
      </c>
      <c r="E409" s="162" t="s">
        <v>8</v>
      </c>
      <c r="F409" s="159" t="s">
        <v>647</v>
      </c>
      <c r="G409" s="163" t="s">
        <v>656</v>
      </c>
      <c r="H409" s="164" t="s">
        <v>649</v>
      </c>
      <c r="Q409" s="173">
        <f t="shared" si="83"/>
        <v>0</v>
      </c>
    </row>
    <row r="410" spans="1:41" ht="15.75" customHeight="1">
      <c r="A410" s="194" t="s">
        <v>618</v>
      </c>
      <c r="B410" s="168">
        <f>('Pivot Table for Data Exchange'!$P$6)*100</f>
        <v>81.620317116629451</v>
      </c>
      <c r="C410" s="168">
        <f>('Pivot Table for Data Exchange'!$P$9)*100</f>
        <v>3.6154904481584231</v>
      </c>
      <c r="D410" s="169">
        <f>SUM(E410:G410)</f>
        <v>14.764192435212125</v>
      </c>
      <c r="E410" s="168">
        <f>('Pivot Table for Data Exchange'!$P$12)*100</f>
        <v>14.764192435212125</v>
      </c>
      <c r="F410" s="168">
        <f>('Pivot Table for Data Exchange'!$P$15)*100</f>
        <v>0</v>
      </c>
      <c r="G410" s="172">
        <f>('Pivot Table for Data Exchange'!$P$18)*100</f>
        <v>0</v>
      </c>
      <c r="H410" s="168">
        <f>('Pivot Table for Data Exchange'!$P$21)*100</f>
        <v>0</v>
      </c>
      <c r="I410" s="139"/>
      <c r="J410" s="207"/>
      <c r="K410" s="207"/>
      <c r="L410" s="207"/>
      <c r="M410" s="207"/>
      <c r="N410" s="207"/>
      <c r="O410" s="207"/>
      <c r="P410" s="207"/>
      <c r="Q410" s="173">
        <f t="shared" si="83"/>
        <v>100</v>
      </c>
      <c r="R410" s="173"/>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row>
    <row r="411" spans="1:41" ht="15.75" customHeight="1">
      <c r="A411" s="139" t="s">
        <v>619</v>
      </c>
      <c r="B411" s="168">
        <f>('Pivot Table for Data Exchange'!$P$42)*100</f>
        <v>0</v>
      </c>
      <c r="C411" s="168">
        <f>('Pivot Table for Data Exchange'!$P$45)*100</f>
        <v>0</v>
      </c>
      <c r="D411" s="169">
        <f t="shared" ref="D411:D413" si="85">SUM(E411:G411)</f>
        <v>0</v>
      </c>
      <c r="E411" s="168">
        <f>('Pivot Table for Data Exchange'!$P$48)*100</f>
        <v>0</v>
      </c>
      <c r="F411" s="168">
        <f>('Pivot Table for Data Exchange'!$P$51)*100</f>
        <v>0</v>
      </c>
      <c r="G411" s="176">
        <f>('Pivot Table for Data Exchange'!$P$54)*100</f>
        <v>0</v>
      </c>
      <c r="H411" s="168">
        <f>('Pivot Table for Data Exchange'!$P$57)*100</f>
        <v>0</v>
      </c>
      <c r="I411" s="139"/>
      <c r="J411" s="207"/>
      <c r="K411" s="207"/>
      <c r="L411" s="207"/>
      <c r="M411" s="207"/>
      <c r="N411" s="207"/>
      <c r="O411" s="207"/>
      <c r="P411" s="207"/>
      <c r="Q411" s="173">
        <f t="shared" si="83"/>
        <v>0</v>
      </c>
      <c r="R411" s="173"/>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row>
    <row r="412" spans="1:41" ht="15.75" customHeight="1">
      <c r="A412" s="139" t="s">
        <v>620</v>
      </c>
      <c r="B412" s="168">
        <f>('Pivot Table for Data Exchange'!$P$78)*100</f>
        <v>0</v>
      </c>
      <c r="C412" s="168">
        <f>('Pivot Table for Data Exchange'!$P$81)*100</f>
        <v>0</v>
      </c>
      <c r="D412" s="169">
        <f t="shared" si="85"/>
        <v>0</v>
      </c>
      <c r="E412" s="168">
        <f>('Pivot Table for Data Exchange'!$P$84)*100</f>
        <v>0</v>
      </c>
      <c r="F412" s="168">
        <f>('Pivot Table for Data Exchange'!$P$87)*100</f>
        <v>0</v>
      </c>
      <c r="G412" s="176">
        <f>('Pivot Table for Data Exchange'!$P$90)*100</f>
        <v>0</v>
      </c>
      <c r="H412" s="168">
        <f>('Pivot Table for Data Exchange'!$P$93)*100</f>
        <v>0</v>
      </c>
      <c r="I412" s="139"/>
      <c r="J412" s="207"/>
      <c r="K412" s="207"/>
      <c r="L412" s="207"/>
      <c r="M412" s="207"/>
      <c r="N412" s="207"/>
      <c r="O412" s="207"/>
      <c r="P412" s="207"/>
      <c r="Q412" s="173">
        <f t="shared" si="83"/>
        <v>0</v>
      </c>
      <c r="R412" s="173"/>
      <c r="S412" s="174"/>
      <c r="T412" s="148"/>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row>
    <row r="413" spans="1:41" ht="15.75" customHeight="1">
      <c r="A413" s="139" t="s">
        <v>621</v>
      </c>
      <c r="B413" s="168">
        <f>('Pivot Table for Data Exchange'!$P$114)*100</f>
        <v>0</v>
      </c>
      <c r="C413" s="168">
        <f>('Pivot Table for Data Exchange'!$P$117)*100</f>
        <v>0</v>
      </c>
      <c r="D413" s="169">
        <f t="shared" si="85"/>
        <v>0</v>
      </c>
      <c r="E413" s="168">
        <f>('Pivot Table for Data Exchange'!$P$120)*100</f>
        <v>0</v>
      </c>
      <c r="F413" s="168">
        <f>('Pivot Table for Data Exchange'!$P$123)*100</f>
        <v>0</v>
      </c>
      <c r="G413" s="176">
        <f>('Pivot Table for Data Exchange'!$P$126)*100</f>
        <v>0</v>
      </c>
      <c r="H413" s="168">
        <f>('Pivot Table for Data Exchange'!$P$129)*100</f>
        <v>0</v>
      </c>
      <c r="I413" s="139"/>
      <c r="J413" s="207"/>
      <c r="K413" s="207"/>
      <c r="L413" s="207"/>
      <c r="M413" s="207"/>
      <c r="N413" s="207"/>
      <c r="O413" s="207"/>
      <c r="P413" s="207"/>
      <c r="Q413" s="173">
        <f t="shared" si="83"/>
        <v>0</v>
      </c>
      <c r="R413" s="173"/>
      <c r="S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row>
    <row r="414" spans="1:41" ht="15.75" customHeight="1">
      <c r="B414" s="168"/>
      <c r="C414" s="168"/>
      <c r="D414" s="169"/>
      <c r="E414" s="168"/>
      <c r="F414" s="168"/>
      <c r="G414" s="176"/>
      <c r="H414" s="168"/>
      <c r="I414" s="139"/>
      <c r="J414" s="207"/>
      <c r="K414" s="207"/>
      <c r="L414" s="207"/>
      <c r="M414" s="207"/>
      <c r="N414" s="207"/>
      <c r="O414" s="207"/>
      <c r="P414" s="207"/>
      <c r="Q414" s="173">
        <f t="shared" si="83"/>
        <v>0</v>
      </c>
      <c r="R414" s="173"/>
      <c r="S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row>
    <row r="415" spans="1:41" ht="15.75" customHeight="1">
      <c r="A415" s="139" t="s">
        <v>622</v>
      </c>
      <c r="B415" s="168">
        <f>('Pivot Table for Data Exchange'!$P$150)*100</f>
        <v>61.294044341152464</v>
      </c>
      <c r="C415" s="168">
        <f>('Pivot Table for Data Exchange'!$P$153)*100</f>
        <v>0</v>
      </c>
      <c r="D415" s="169">
        <f t="shared" ref="D415:D418" si="86">SUM(E415:G415)</f>
        <v>38.705955658847536</v>
      </c>
      <c r="E415" s="168">
        <f>('Pivot Table for Data Exchange'!$P$156)*100</f>
        <v>38.131657777123372</v>
      </c>
      <c r="F415" s="168">
        <f>('Pivot Table for Data Exchange'!$P$159)*100</f>
        <v>0.57429788172416307</v>
      </c>
      <c r="G415" s="176">
        <f>('Pivot Table for Data Exchange'!$P$162)*100</f>
        <v>0</v>
      </c>
      <c r="H415" s="168">
        <f>('Pivot Table for Data Exchange'!$P$165)*100</f>
        <v>0</v>
      </c>
      <c r="I415" s="139"/>
      <c r="J415" s="207"/>
      <c r="K415" s="207"/>
      <c r="L415" s="207"/>
      <c r="M415" s="207"/>
      <c r="N415" s="207"/>
      <c r="O415" s="207"/>
      <c r="P415" s="207"/>
      <c r="Q415" s="173">
        <f t="shared" si="83"/>
        <v>100</v>
      </c>
      <c r="R415" s="173"/>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row>
    <row r="416" spans="1:41" ht="15.75" customHeight="1">
      <c r="A416" s="139" t="s">
        <v>623</v>
      </c>
      <c r="B416" s="168">
        <f>('Pivot Table for Data Exchange'!$P$186)*100</f>
        <v>61.106332913326511</v>
      </c>
      <c r="C416" s="168">
        <f>('Pivot Table for Data Exchange'!$P$189)*100</f>
        <v>5.3021816409776514</v>
      </c>
      <c r="D416" s="169">
        <f t="shared" si="86"/>
        <v>33.591485445695838</v>
      </c>
      <c r="E416" s="168">
        <f>('Pivot Table for Data Exchange'!$P$192)*100</f>
        <v>33.591485445695838</v>
      </c>
      <c r="F416" s="168">
        <f>('Pivot Table for Data Exchange'!$P$195)*100</f>
        <v>0</v>
      </c>
      <c r="G416" s="176">
        <f>('Pivot Table for Data Exchange'!$P$198)*100</f>
        <v>0</v>
      </c>
      <c r="H416" s="168">
        <f>('Pivot Table for Data Exchange'!$P$201)*100</f>
        <v>0</v>
      </c>
      <c r="I416" s="139"/>
      <c r="J416" s="207"/>
      <c r="K416" s="207"/>
      <c r="L416" s="207"/>
      <c r="M416" s="207"/>
      <c r="N416" s="207"/>
      <c r="O416" s="207"/>
      <c r="P416" s="207"/>
      <c r="Q416" s="173">
        <f t="shared" si="83"/>
        <v>100</v>
      </c>
      <c r="R416" s="173"/>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row>
    <row r="417" spans="1:41" ht="15.75" customHeight="1">
      <c r="A417" s="139" t="s">
        <v>624</v>
      </c>
      <c r="B417" s="168">
        <f>('Pivot Table for Data Exchange'!$P$222)*100</f>
        <v>77.95643303307719</v>
      </c>
      <c r="C417" s="168">
        <f>('Pivot Table for Data Exchange'!$P$225)*100</f>
        <v>0</v>
      </c>
      <c r="D417" s="169">
        <f t="shared" si="86"/>
        <v>22.043566966922803</v>
      </c>
      <c r="E417" s="168">
        <f>('Pivot Table for Data Exchange'!$P$228)*100</f>
        <v>22.043566966922803</v>
      </c>
      <c r="F417" s="168">
        <f>('Pivot Table for Data Exchange'!$P$231)*100</f>
        <v>0</v>
      </c>
      <c r="G417" s="176">
        <f>('Pivot Table for Data Exchange'!$P$234)*100</f>
        <v>0</v>
      </c>
      <c r="H417" s="168">
        <f>('Pivot Table for Data Exchange'!$P$237)*100</f>
        <v>0</v>
      </c>
      <c r="I417" s="214"/>
      <c r="J417" s="207"/>
      <c r="K417" s="207"/>
      <c r="L417" s="207"/>
      <c r="M417" s="207"/>
      <c r="N417" s="207"/>
      <c r="O417" s="207"/>
      <c r="P417" s="207"/>
      <c r="Q417" s="173">
        <f>SUM(I417,C417,D417,H417)</f>
        <v>22.043566966922803</v>
      </c>
      <c r="R417" s="173"/>
      <c r="S417" s="174"/>
      <c r="T417" s="148"/>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row>
    <row r="418" spans="1:41" ht="15.75" customHeight="1">
      <c r="A418" s="139" t="s">
        <v>625</v>
      </c>
      <c r="B418" s="168">
        <f>('Pivot Table for Data Exchange'!$P$258)*100</f>
        <v>0</v>
      </c>
      <c r="C418" s="168">
        <f>('Pivot Table for Data Exchange'!$P$261)*100</f>
        <v>0</v>
      </c>
      <c r="D418" s="169">
        <f t="shared" si="86"/>
        <v>0</v>
      </c>
      <c r="E418" s="168">
        <f>('Pivot Table for Data Exchange'!$P$264)*100</f>
        <v>0</v>
      </c>
      <c r="F418" s="168">
        <f>('Pivot Table for Data Exchange'!$P$267)*100</f>
        <v>0</v>
      </c>
      <c r="G418" s="176">
        <f>('Pivot Table for Data Exchange'!$P$270)*100</f>
        <v>0</v>
      </c>
      <c r="H418" s="168">
        <f>('Pivot Table for Data Exchange'!$P$273)*100</f>
        <v>0</v>
      </c>
      <c r="I418" s="139"/>
      <c r="J418" s="207"/>
      <c r="K418" s="207"/>
      <c r="L418" s="207"/>
      <c r="M418" s="207"/>
      <c r="N418" s="207"/>
      <c r="O418" s="207"/>
      <c r="P418" s="207"/>
      <c r="Q418" s="173">
        <f t="shared" si="83"/>
        <v>0</v>
      </c>
      <c r="R418" s="173"/>
      <c r="S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row>
    <row r="419" spans="1:41" ht="15.75" customHeight="1">
      <c r="B419" s="168"/>
      <c r="C419" s="168"/>
      <c r="D419" s="169"/>
      <c r="E419" s="168"/>
      <c r="F419" s="168"/>
      <c r="G419" s="176"/>
      <c r="H419" s="168"/>
      <c r="I419" s="139"/>
      <c r="J419" s="207"/>
      <c r="K419" s="207"/>
      <c r="L419" s="207"/>
      <c r="M419" s="207"/>
      <c r="N419" s="207"/>
      <c r="O419" s="207"/>
      <c r="P419" s="207"/>
      <c r="Q419" s="173">
        <f t="shared" si="83"/>
        <v>0</v>
      </c>
      <c r="R419" s="173"/>
      <c r="S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row>
    <row r="420" spans="1:41" ht="15.75" customHeight="1">
      <c r="A420" s="139" t="s">
        <v>626</v>
      </c>
      <c r="B420" s="168">
        <f>('Pivot Table for Data Exchange'!$P$294)*100</f>
        <v>0</v>
      </c>
      <c r="C420" s="168">
        <f>('Pivot Table for Data Exchange'!$P$297)*100</f>
        <v>0</v>
      </c>
      <c r="D420" s="169">
        <f t="shared" ref="D420:D422" si="87">SUM(E420:G420)</f>
        <v>0</v>
      </c>
      <c r="E420" s="168">
        <f>('Pivot Table for Data Exchange'!$P$300)*100</f>
        <v>0</v>
      </c>
      <c r="F420" s="168">
        <f>('Pivot Table for Data Exchange'!$P$303)*100</f>
        <v>0</v>
      </c>
      <c r="G420" s="176">
        <f>('Pivot Table for Data Exchange'!$P$306)*100</f>
        <v>0</v>
      </c>
      <c r="H420" s="168">
        <f>('Pivot Table for Data Exchange'!$P$309)*100</f>
        <v>0</v>
      </c>
      <c r="I420" s="139"/>
      <c r="J420" s="207"/>
      <c r="K420" s="207"/>
      <c r="L420" s="207"/>
      <c r="M420" s="207"/>
      <c r="N420" s="207"/>
      <c r="O420" s="207"/>
      <c r="P420" s="207"/>
      <c r="Q420" s="173">
        <f t="shared" si="83"/>
        <v>0</v>
      </c>
      <c r="R420" s="173"/>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row>
    <row r="421" spans="1:41" ht="15.75" customHeight="1">
      <c r="A421" s="139" t="s">
        <v>627</v>
      </c>
      <c r="B421" s="168">
        <f>('Pivot Table for Data Exchange'!$P$330)*100</f>
        <v>0</v>
      </c>
      <c r="C421" s="168">
        <f>('Pivot Table for Data Exchange'!$P$333)*100</f>
        <v>0</v>
      </c>
      <c r="D421" s="169">
        <f t="shared" si="87"/>
        <v>0</v>
      </c>
      <c r="E421" s="168">
        <f>('Pivot Table for Data Exchange'!$P$336)*100</f>
        <v>0</v>
      </c>
      <c r="F421" s="168">
        <f>('Pivot Table for Data Exchange'!$P$339)*100</f>
        <v>0</v>
      </c>
      <c r="G421" s="176">
        <f>('Pivot Table for Data Exchange'!$P$342)*100</f>
        <v>0</v>
      </c>
      <c r="H421" s="168">
        <f>('Pivot Table for Data Exchange'!$P$345)*100</f>
        <v>0</v>
      </c>
      <c r="I421" s="139"/>
      <c r="J421" s="207"/>
      <c r="K421" s="207"/>
      <c r="L421" s="207"/>
      <c r="M421" s="207"/>
      <c r="N421" s="207"/>
      <c r="O421" s="207"/>
      <c r="P421" s="207"/>
      <c r="Q421" s="173">
        <f t="shared" si="83"/>
        <v>0</v>
      </c>
      <c r="R421" s="173"/>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row>
    <row r="422" spans="1:41" ht="15.75" customHeight="1">
      <c r="A422" s="139" t="s">
        <v>628</v>
      </c>
      <c r="B422" s="168">
        <f>('Pivot Table for Data Exchange'!$P$366)*100</f>
        <v>0</v>
      </c>
      <c r="C422" s="168">
        <f>('Pivot Table for Data Exchange'!$P$369)*100</f>
        <v>0</v>
      </c>
      <c r="D422" s="169">
        <f t="shared" si="87"/>
        <v>0</v>
      </c>
      <c r="E422" s="168">
        <f>('Pivot Table for Data Exchange'!$P$372)*100</f>
        <v>0</v>
      </c>
      <c r="F422" s="168">
        <f>('Pivot Table for Data Exchange'!$P$375)*100</f>
        <v>0</v>
      </c>
      <c r="G422" s="176">
        <f>('Pivot Table for Data Exchange'!$P$378)*100</f>
        <v>0</v>
      </c>
      <c r="H422" s="168">
        <f>('Pivot Table for Data Exchange'!$P$381)*100</f>
        <v>0</v>
      </c>
      <c r="I422" s="139"/>
      <c r="J422" s="207"/>
      <c r="K422" s="207"/>
      <c r="L422" s="207"/>
      <c r="M422" s="207"/>
      <c r="N422" s="207"/>
      <c r="O422" s="207"/>
      <c r="P422" s="207"/>
      <c r="Q422" s="173">
        <f t="shared" si="83"/>
        <v>0</v>
      </c>
      <c r="R422" s="173"/>
      <c r="S422" s="174"/>
      <c r="T422" s="148"/>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row>
    <row r="423" spans="1:41" ht="15.75" customHeight="1">
      <c r="A423" s="139" t="s">
        <v>629</v>
      </c>
      <c r="B423" s="168">
        <f>('Pivot Table for Data Exchange'!$P$402)*100</f>
        <v>0</v>
      </c>
      <c r="C423" s="168">
        <f>('Pivot Table for Data Exchange'!$P$405)*100</f>
        <v>0</v>
      </c>
      <c r="D423" s="169">
        <f>SUM(E423:G423)</f>
        <v>0</v>
      </c>
      <c r="E423" s="168">
        <f>('Pivot Table for Data Exchange'!$P$408)*100</f>
        <v>0</v>
      </c>
      <c r="F423" s="168">
        <f>('Pivot Table for Data Exchange'!$P$411)*100</f>
        <v>0</v>
      </c>
      <c r="G423" s="176">
        <f>('Pivot Table for Data Exchange'!$P$414)*100</f>
        <v>0</v>
      </c>
      <c r="H423" s="168">
        <f>('Pivot Table for Data Exchange'!$P$417)*100</f>
        <v>0</v>
      </c>
      <c r="I423" s="139"/>
      <c r="J423" s="207"/>
      <c r="K423" s="207"/>
      <c r="L423" s="207"/>
      <c r="M423" s="207"/>
      <c r="N423" s="207"/>
      <c r="O423" s="207"/>
      <c r="P423" s="207"/>
      <c r="Q423" s="173">
        <f t="shared" si="83"/>
        <v>0</v>
      </c>
      <c r="R423" s="173"/>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row>
    <row r="424" spans="1:41" ht="15.75" customHeight="1">
      <c r="B424" s="168"/>
      <c r="C424" s="168"/>
      <c r="D424" s="169"/>
      <c r="E424" s="168"/>
      <c r="F424" s="168"/>
      <c r="G424" s="176"/>
      <c r="H424" s="168"/>
      <c r="I424" s="139"/>
      <c r="J424" s="207"/>
      <c r="K424" s="207"/>
      <c r="L424" s="207"/>
      <c r="M424" s="207"/>
      <c r="N424" s="207"/>
      <c r="O424" s="207"/>
      <c r="P424" s="207"/>
      <c r="Q424" s="173">
        <f t="shared" si="83"/>
        <v>0</v>
      </c>
      <c r="R424" s="173"/>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row>
    <row r="425" spans="1:41" ht="15.75" customHeight="1">
      <c r="A425" s="139" t="s">
        <v>630</v>
      </c>
      <c r="B425" s="168">
        <f>('Pivot Table for Data Exchange'!$P$438)*100</f>
        <v>0</v>
      </c>
      <c r="C425" s="168">
        <f>('Pivot Table for Data Exchange'!$P$441)*100</f>
        <v>0</v>
      </c>
      <c r="D425" s="169">
        <f>SUM(E425:G425)</f>
        <v>0</v>
      </c>
      <c r="E425" s="168">
        <f>('Pivot Table for Data Exchange'!$P$444)*100</f>
        <v>0</v>
      </c>
      <c r="F425" s="168">
        <f>('Pivot Table for Data Exchange'!$P$447)*100</f>
        <v>0</v>
      </c>
      <c r="G425" s="176">
        <f>('Pivot Table for Data Exchange'!$P$450)*100</f>
        <v>0</v>
      </c>
      <c r="H425" s="168">
        <f>('Pivot Table for Data Exchange'!$P$453)*100</f>
        <v>0</v>
      </c>
      <c r="I425" s="139"/>
      <c r="J425" s="207"/>
      <c r="K425" s="207"/>
      <c r="L425" s="207"/>
      <c r="M425" s="207"/>
      <c r="N425" s="207"/>
      <c r="O425" s="207"/>
      <c r="P425" s="207"/>
      <c r="Q425" s="173">
        <f t="shared" si="83"/>
        <v>0</v>
      </c>
      <c r="R425" s="173"/>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row>
    <row r="426" spans="1:41" ht="15.75" customHeight="1">
      <c r="A426" s="139" t="s">
        <v>631</v>
      </c>
      <c r="B426" s="168">
        <f>('Pivot Table for Data Exchange'!$P$474)*100</f>
        <v>0</v>
      </c>
      <c r="C426" s="168">
        <f>('Pivot Table for Data Exchange'!$P$477)*100</f>
        <v>0</v>
      </c>
      <c r="D426" s="169">
        <f>SUM(E426:G426)</f>
        <v>0</v>
      </c>
      <c r="E426" s="168">
        <f>('Pivot Table for Data Exchange'!$P$480)*100</f>
        <v>0</v>
      </c>
      <c r="F426" s="168">
        <f>('Pivot Table for Data Exchange'!$P$483)*100</f>
        <v>0</v>
      </c>
      <c r="G426" s="176">
        <f>('Pivot Table for Data Exchange'!$P$486)*100</f>
        <v>0</v>
      </c>
      <c r="H426" s="168">
        <f>('Pivot Table for Data Exchange'!$P$489)*100</f>
        <v>0</v>
      </c>
      <c r="I426" s="139"/>
      <c r="J426" s="207"/>
      <c r="K426" s="207"/>
      <c r="L426" s="207"/>
      <c r="M426" s="207"/>
      <c r="N426" s="207"/>
      <c r="O426" s="207"/>
      <c r="P426" s="207"/>
      <c r="Q426" s="173">
        <f t="shared" si="83"/>
        <v>0</v>
      </c>
      <c r="R426" s="173"/>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row>
    <row r="427" spans="1:41" ht="15.75" customHeight="1">
      <c r="A427" s="139" t="s">
        <v>632</v>
      </c>
      <c r="B427" s="168">
        <f>('Pivot Table for Data Exchange'!$P$510)*100</f>
        <v>0</v>
      </c>
      <c r="C427" s="168">
        <f>('Pivot Table for Data Exchange'!$P$513)*100</f>
        <v>0</v>
      </c>
      <c r="D427" s="169">
        <f t="shared" ref="D427" si="88">SUM(E427:G427)</f>
        <v>0</v>
      </c>
      <c r="E427" s="168">
        <f>('Pivot Table for Data Exchange'!$P$516)*100</f>
        <v>0</v>
      </c>
      <c r="F427" s="168">
        <f>('Pivot Table for Data Exchange'!$P$519)*100</f>
        <v>0</v>
      </c>
      <c r="G427" s="176">
        <f>('Pivot Table for Data Exchange'!$P$522)*100</f>
        <v>0</v>
      </c>
      <c r="H427" s="168">
        <f>('Pivot Table for Data Exchange'!$P$525)*100</f>
        <v>0</v>
      </c>
      <c r="I427" s="139"/>
      <c r="J427" s="207"/>
      <c r="K427" s="207"/>
      <c r="L427" s="207"/>
      <c r="M427" s="207"/>
      <c r="N427" s="207"/>
      <c r="O427" s="207"/>
      <c r="P427" s="207"/>
      <c r="Q427" s="173">
        <f t="shared" si="83"/>
        <v>0</v>
      </c>
      <c r="R427" s="173"/>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row>
    <row r="428" spans="1:41" ht="15.75" customHeight="1">
      <c r="A428" s="145" t="s">
        <v>633</v>
      </c>
      <c r="B428" s="181">
        <f>('Pivot Table for Data Exchange'!$P$546)*100</f>
        <v>0</v>
      </c>
      <c r="C428" s="181">
        <f>('Pivot Table for Data Exchange'!$P$549)*100</f>
        <v>0</v>
      </c>
      <c r="D428" s="182">
        <f>SUM(E428:G428)</f>
        <v>0</v>
      </c>
      <c r="E428" s="181">
        <f>('Pivot Table for Data Exchange'!$P$552)*100</f>
        <v>0</v>
      </c>
      <c r="F428" s="181">
        <f>('Pivot Table for Data Exchange'!$P$555)*100</f>
        <v>0</v>
      </c>
      <c r="G428" s="183">
        <f>('Pivot Table for Data Exchange'!$P$558)*100</f>
        <v>0</v>
      </c>
      <c r="H428" s="181">
        <f>('Pivot Table for Data Exchange'!$P$561)*100</f>
        <v>0</v>
      </c>
      <c r="I428" s="139"/>
      <c r="J428" s="207"/>
      <c r="K428" s="207"/>
      <c r="L428" s="207"/>
      <c r="M428" s="207"/>
      <c r="N428" s="207"/>
      <c r="O428" s="207"/>
      <c r="P428" s="207"/>
      <c r="Q428" s="173">
        <f t="shared" si="83"/>
        <v>0</v>
      </c>
      <c r="R428" s="173"/>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row>
    <row r="429" spans="1:41" s="186" customFormat="1" ht="12" customHeight="1">
      <c r="A429" s="187" t="s">
        <v>658</v>
      </c>
      <c r="B429" s="188"/>
      <c r="C429" s="188"/>
      <c r="D429" s="189"/>
      <c r="E429" s="188"/>
      <c r="F429" s="189"/>
      <c r="G429" s="189"/>
      <c r="H429" s="188"/>
      <c r="I429" s="197"/>
      <c r="J429" s="188"/>
      <c r="K429" s="188"/>
      <c r="L429" s="189"/>
      <c r="M429" s="188"/>
      <c r="N429" s="189"/>
      <c r="O429" s="189"/>
      <c r="P429" s="188"/>
      <c r="Q429" s="173">
        <f t="shared" si="83"/>
        <v>0</v>
      </c>
      <c r="R429" s="208"/>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row>
    <row r="430" spans="1:41" s="186" customFormat="1" ht="13.5" customHeight="1">
      <c r="A430" s="197"/>
      <c r="B430" s="198"/>
      <c r="I430" s="197"/>
      <c r="P430" s="199"/>
      <c r="Q430" s="173">
        <f t="shared" si="83"/>
        <v>0</v>
      </c>
      <c r="R430" s="209"/>
    </row>
    <row r="431" spans="1:41" s="186" customFormat="1" ht="13.5" customHeight="1">
      <c r="A431" s="197"/>
      <c r="H431" s="192" t="s">
        <v>923</v>
      </c>
      <c r="I431" s="197"/>
      <c r="Q431" s="173">
        <f t="shared" si="83"/>
        <v>0</v>
      </c>
      <c r="R431" s="209"/>
    </row>
    <row r="432" spans="1:41" ht="18">
      <c r="A432" s="134" t="s">
        <v>681</v>
      </c>
      <c r="B432" s="135"/>
      <c r="C432" s="135"/>
      <c r="D432" s="135"/>
      <c r="E432" s="135"/>
      <c r="F432" s="135"/>
      <c r="G432" s="135"/>
      <c r="H432" s="135"/>
      <c r="Q432" s="173">
        <f t="shared" si="83"/>
        <v>0</v>
      </c>
    </row>
    <row r="433" spans="1:41" ht="13">
      <c r="A433" s="140"/>
      <c r="B433" s="136"/>
      <c r="C433" s="136"/>
      <c r="D433" s="136"/>
      <c r="E433" s="136"/>
      <c r="F433" s="136"/>
      <c r="G433" s="136"/>
      <c r="H433" s="136"/>
      <c r="Q433" s="173">
        <f t="shared" si="83"/>
        <v>0</v>
      </c>
    </row>
    <row r="434" spans="1:41" ht="15.5">
      <c r="A434" s="142" t="s">
        <v>639</v>
      </c>
      <c r="B434" s="136"/>
      <c r="C434" s="136"/>
      <c r="D434" s="136"/>
      <c r="E434" s="136"/>
      <c r="F434" s="136"/>
      <c r="G434" s="136"/>
      <c r="H434" s="136"/>
      <c r="Q434" s="173">
        <f t="shared" si="83"/>
        <v>0</v>
      </c>
    </row>
    <row r="435" spans="1:41" ht="15.5">
      <c r="A435" s="142" t="s">
        <v>760</v>
      </c>
      <c r="B435" s="136"/>
      <c r="C435" s="136"/>
      <c r="D435" s="136"/>
      <c r="E435" s="136"/>
      <c r="F435" s="136"/>
      <c r="G435" s="136"/>
      <c r="H435" s="136"/>
      <c r="Q435" s="173">
        <f t="shared" si="83"/>
        <v>0</v>
      </c>
    </row>
    <row r="436" spans="1:41">
      <c r="A436" s="145"/>
      <c r="B436" s="146"/>
      <c r="C436" s="146"/>
      <c r="D436" s="146"/>
      <c r="E436" s="146"/>
      <c r="F436" s="146"/>
      <c r="G436" s="146"/>
      <c r="H436" s="146"/>
      <c r="Q436" s="173">
        <f t="shared" si="83"/>
        <v>0</v>
      </c>
    </row>
    <row r="437" spans="1:41">
      <c r="A437" s="150"/>
      <c r="B437" s="151" t="s">
        <v>641</v>
      </c>
      <c r="C437" s="151"/>
      <c r="D437" s="151"/>
      <c r="E437" s="151"/>
      <c r="F437" s="151"/>
      <c r="G437" s="151"/>
      <c r="H437" s="152"/>
      <c r="Q437" s="173">
        <f t="shared" si="83"/>
        <v>0</v>
      </c>
    </row>
    <row r="438" spans="1:41">
      <c r="A438" s="150"/>
      <c r="B438" s="151" t="s">
        <v>642</v>
      </c>
      <c r="C438" s="151"/>
      <c r="D438" s="487" t="s">
        <v>643</v>
      </c>
      <c r="E438" s="485"/>
      <c r="F438" s="485"/>
      <c r="G438" s="485"/>
      <c r="H438" s="158" t="s">
        <v>533</v>
      </c>
      <c r="Q438" s="173">
        <f t="shared" si="83"/>
        <v>0</v>
      </c>
    </row>
    <row r="439" spans="1:41" ht="34.5">
      <c r="A439" s="150"/>
      <c r="B439" s="159" t="s">
        <v>644</v>
      </c>
      <c r="C439" s="160" t="s">
        <v>645</v>
      </c>
      <c r="D439" s="161" t="s">
        <v>646</v>
      </c>
      <c r="E439" s="162" t="s">
        <v>8</v>
      </c>
      <c r="F439" s="159" t="s">
        <v>647</v>
      </c>
      <c r="G439" s="163" t="s">
        <v>656</v>
      </c>
      <c r="H439" s="164" t="s">
        <v>649</v>
      </c>
      <c r="Q439" s="173">
        <f t="shared" si="83"/>
        <v>0</v>
      </c>
    </row>
    <row r="440" spans="1:41" ht="15.75" customHeight="1">
      <c r="A440" s="194" t="s">
        <v>618</v>
      </c>
      <c r="B440" s="168">
        <f>('Pivot Table for Data Exchange'!$Q$6)*100</f>
        <v>81.336584284606005</v>
      </c>
      <c r="C440" s="168">
        <f>('Pivot Table for Data Exchange'!$Q$9)*100</f>
        <v>6.7006538845173447</v>
      </c>
      <c r="D440" s="169">
        <f>SUM(E440:G440)</f>
        <v>11.96276183087665</v>
      </c>
      <c r="E440" s="168">
        <f>('Pivot Table for Data Exchange'!$Q$12)*100</f>
        <v>11.96276183087665</v>
      </c>
      <c r="F440" s="168">
        <f>('Pivot Table for Data Exchange'!$Q$15)*100</f>
        <v>0</v>
      </c>
      <c r="G440" s="172">
        <f>('Pivot Table for Data Exchange'!$Q$18)*100</f>
        <v>0</v>
      </c>
      <c r="H440" s="168">
        <f>('Pivot Table for Data Exchange'!$Q$21)*100</f>
        <v>0</v>
      </c>
      <c r="I440" s="139"/>
      <c r="J440" s="207"/>
      <c r="K440" s="207"/>
      <c r="L440" s="207"/>
      <c r="M440" s="207"/>
      <c r="N440" s="207"/>
      <c r="O440" s="207"/>
      <c r="P440" s="207"/>
      <c r="Q440" s="173">
        <f t="shared" si="83"/>
        <v>100</v>
      </c>
      <c r="R440" s="173"/>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row>
    <row r="441" spans="1:41" ht="15.75" customHeight="1">
      <c r="A441" s="139" t="s">
        <v>619</v>
      </c>
      <c r="B441" s="168">
        <f>('Pivot Table for Data Exchange'!$Q$42)*100</f>
        <v>0</v>
      </c>
      <c r="C441" s="168">
        <f>('Pivot Table for Data Exchange'!$Q$45)*100</f>
        <v>0</v>
      </c>
      <c r="D441" s="169">
        <f t="shared" ref="D441:D443" si="89">SUM(E441:G441)</f>
        <v>0</v>
      </c>
      <c r="E441" s="168">
        <f>('Pivot Table for Data Exchange'!$Q$48)*100</f>
        <v>0</v>
      </c>
      <c r="F441" s="168">
        <f>('Pivot Table for Data Exchange'!$Q$51)*100</f>
        <v>0</v>
      </c>
      <c r="G441" s="176">
        <f>('Pivot Table for Data Exchange'!$Q$54)*100</f>
        <v>0</v>
      </c>
      <c r="H441" s="168">
        <f>('Pivot Table for Data Exchange'!$Q$57)*100</f>
        <v>0</v>
      </c>
      <c r="I441" s="139"/>
      <c r="J441" s="207"/>
      <c r="K441" s="207"/>
      <c r="L441" s="207"/>
      <c r="M441" s="207"/>
      <c r="N441" s="207"/>
      <c r="O441" s="207"/>
      <c r="P441" s="207"/>
      <c r="Q441" s="173">
        <f t="shared" si="83"/>
        <v>0</v>
      </c>
      <c r="R441" s="173"/>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row>
    <row r="442" spans="1:41" ht="15.75" customHeight="1">
      <c r="A442" s="139" t="s">
        <v>620</v>
      </c>
      <c r="B442" s="168">
        <f>('Pivot Table for Data Exchange'!$Q$78)*100</f>
        <v>0</v>
      </c>
      <c r="C442" s="168">
        <f>('Pivot Table for Data Exchange'!$Q$81)*100</f>
        <v>0</v>
      </c>
      <c r="D442" s="169">
        <f t="shared" si="89"/>
        <v>0</v>
      </c>
      <c r="E442" s="168">
        <f>('Pivot Table for Data Exchange'!$Q$84)*100</f>
        <v>0</v>
      </c>
      <c r="F442" s="168">
        <f>('Pivot Table for Data Exchange'!$Q$87)*100</f>
        <v>0</v>
      </c>
      <c r="G442" s="176">
        <f>('Pivot Table for Data Exchange'!$Q$90)*100</f>
        <v>0</v>
      </c>
      <c r="H442" s="168">
        <f>('Pivot Table for Data Exchange'!$Q$93)*100</f>
        <v>0</v>
      </c>
      <c r="I442" s="139"/>
      <c r="J442" s="207"/>
      <c r="K442" s="207"/>
      <c r="L442" s="207"/>
      <c r="M442" s="207"/>
      <c r="N442" s="207"/>
      <c r="O442" s="207"/>
      <c r="P442" s="207"/>
      <c r="Q442" s="173">
        <f t="shared" si="83"/>
        <v>0</v>
      </c>
      <c r="R442" s="173"/>
      <c r="S442" s="174"/>
      <c r="T442" s="148"/>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row>
    <row r="443" spans="1:41" ht="15.75" customHeight="1">
      <c r="A443" s="139" t="s">
        <v>621</v>
      </c>
      <c r="B443" s="168">
        <f>('Pivot Table for Data Exchange'!$Q$114)*100</f>
        <v>0</v>
      </c>
      <c r="C443" s="168">
        <f>('Pivot Table for Data Exchange'!$Q$117)*100</f>
        <v>0</v>
      </c>
      <c r="D443" s="169">
        <f t="shared" si="89"/>
        <v>0</v>
      </c>
      <c r="E443" s="168">
        <f>('Pivot Table for Data Exchange'!$Q$120)*100</f>
        <v>0</v>
      </c>
      <c r="F443" s="168">
        <f>('Pivot Table for Data Exchange'!$Q$123)*100</f>
        <v>0</v>
      </c>
      <c r="G443" s="176">
        <f>('Pivot Table for Data Exchange'!$Q$126)*100</f>
        <v>0</v>
      </c>
      <c r="H443" s="168">
        <f>('Pivot Table for Data Exchange'!$Q$129)*100</f>
        <v>0</v>
      </c>
      <c r="I443" s="139"/>
      <c r="J443" s="207"/>
      <c r="K443" s="207"/>
      <c r="L443" s="207"/>
      <c r="M443" s="207"/>
      <c r="N443" s="207"/>
      <c r="O443" s="207"/>
      <c r="P443" s="207"/>
      <c r="Q443" s="173">
        <f t="shared" si="83"/>
        <v>0</v>
      </c>
      <c r="R443" s="173"/>
      <c r="S443" s="174"/>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row>
    <row r="444" spans="1:41" ht="15.75" customHeight="1">
      <c r="B444" s="168"/>
      <c r="C444" s="168"/>
      <c r="D444" s="169"/>
      <c r="E444" s="168"/>
      <c r="F444" s="168"/>
      <c r="G444" s="176"/>
      <c r="H444" s="168"/>
      <c r="I444" s="139"/>
      <c r="J444" s="207"/>
      <c r="K444" s="207"/>
      <c r="L444" s="207"/>
      <c r="M444" s="207"/>
      <c r="N444" s="207"/>
      <c r="O444" s="207"/>
      <c r="P444" s="207"/>
      <c r="Q444" s="173">
        <f t="shared" si="83"/>
        <v>0</v>
      </c>
      <c r="R444" s="173"/>
      <c r="S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row>
    <row r="445" spans="1:41" ht="15.75" customHeight="1">
      <c r="A445" s="139" t="s">
        <v>622</v>
      </c>
      <c r="B445" s="168">
        <f>('Pivot Table for Data Exchange'!$Q$150)*100</f>
        <v>0</v>
      </c>
      <c r="C445" s="168">
        <f>('Pivot Table for Data Exchange'!$Q$153)*100</f>
        <v>0</v>
      </c>
      <c r="D445" s="169">
        <f t="shared" ref="D445:D448" si="90">SUM(E445:G445)</f>
        <v>0</v>
      </c>
      <c r="E445" s="168">
        <f>('Pivot Table for Data Exchange'!$Q$156)*100</f>
        <v>0</v>
      </c>
      <c r="F445" s="168">
        <f>('Pivot Table for Data Exchange'!$Q$159)*100</f>
        <v>0</v>
      </c>
      <c r="G445" s="176">
        <f>('Pivot Table for Data Exchange'!$Q$162)*100</f>
        <v>0</v>
      </c>
      <c r="H445" s="168">
        <f>('Pivot Table for Data Exchange'!$Q$165)*100</f>
        <v>0</v>
      </c>
      <c r="I445" s="139"/>
      <c r="J445" s="207"/>
      <c r="K445" s="207"/>
      <c r="L445" s="207"/>
      <c r="M445" s="207"/>
      <c r="N445" s="207"/>
      <c r="O445" s="207"/>
      <c r="P445" s="207"/>
      <c r="Q445" s="173">
        <f t="shared" si="83"/>
        <v>0</v>
      </c>
      <c r="R445" s="173"/>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row>
    <row r="446" spans="1:41" ht="15.75" customHeight="1">
      <c r="A446" s="139" t="s">
        <v>623</v>
      </c>
      <c r="B446" s="168">
        <f>('Pivot Table for Data Exchange'!$Q$186)*100</f>
        <v>0</v>
      </c>
      <c r="C446" s="168">
        <f>('Pivot Table for Data Exchange'!$Q$189)*100</f>
        <v>0</v>
      </c>
      <c r="D446" s="169">
        <f t="shared" si="90"/>
        <v>0</v>
      </c>
      <c r="E446" s="168">
        <f>('Pivot Table for Data Exchange'!$Q$192)*100</f>
        <v>0</v>
      </c>
      <c r="F446" s="168">
        <f>('Pivot Table for Data Exchange'!$Q$195)*100</f>
        <v>0</v>
      </c>
      <c r="G446" s="176">
        <f>('Pivot Table for Data Exchange'!$Q$198)*100</f>
        <v>0</v>
      </c>
      <c r="H446" s="168">
        <f>('Pivot Table for Data Exchange'!$Q$201)*100</f>
        <v>0</v>
      </c>
      <c r="I446" s="139"/>
      <c r="J446" s="207"/>
      <c r="K446" s="207"/>
      <c r="L446" s="207"/>
      <c r="M446" s="207"/>
      <c r="N446" s="207"/>
      <c r="O446" s="207"/>
      <c r="P446" s="207"/>
      <c r="Q446" s="173">
        <f t="shared" si="83"/>
        <v>0</v>
      </c>
      <c r="R446" s="173"/>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row>
    <row r="447" spans="1:41" ht="15.75" customHeight="1">
      <c r="A447" s="139" t="s">
        <v>624</v>
      </c>
      <c r="B447" s="168">
        <f>('Pivot Table for Data Exchange'!$Q$222)*100</f>
        <v>99.392712550607285</v>
      </c>
      <c r="C447" s="168">
        <f>('Pivot Table for Data Exchange'!$Q$225)*100</f>
        <v>0</v>
      </c>
      <c r="D447" s="169">
        <f t="shared" si="90"/>
        <v>0.60728744939271273</v>
      </c>
      <c r="E447" s="168">
        <f>('Pivot Table for Data Exchange'!$Q$228)*100</f>
        <v>0.60728744939271273</v>
      </c>
      <c r="F447" s="168">
        <f>('Pivot Table for Data Exchange'!$Q$231)*100</f>
        <v>0</v>
      </c>
      <c r="G447" s="176">
        <f>('Pivot Table for Data Exchange'!$Q$234)*100</f>
        <v>0</v>
      </c>
      <c r="H447" s="168">
        <f>('Pivot Table for Data Exchange'!$Q$237)*100</f>
        <v>0</v>
      </c>
      <c r="I447" s="214"/>
      <c r="J447" s="207"/>
      <c r="K447" s="207"/>
      <c r="L447" s="207"/>
      <c r="M447" s="207"/>
      <c r="N447" s="207"/>
      <c r="O447" s="207"/>
      <c r="P447" s="207"/>
      <c r="Q447" s="173">
        <f>SUM(I447,C447,D447,H447)</f>
        <v>0.60728744939271273</v>
      </c>
      <c r="R447" s="173"/>
      <c r="S447" s="174"/>
      <c r="T447" s="148"/>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row>
    <row r="448" spans="1:41" ht="15.75" customHeight="1">
      <c r="A448" s="139" t="s">
        <v>625</v>
      </c>
      <c r="B448" s="168">
        <f>('Pivot Table for Data Exchange'!$Q$258)*100</f>
        <v>0</v>
      </c>
      <c r="C448" s="168">
        <f>('Pivot Table for Data Exchange'!$Q$261)*100</f>
        <v>0</v>
      </c>
      <c r="D448" s="169">
        <f t="shared" si="90"/>
        <v>0</v>
      </c>
      <c r="E448" s="168">
        <f>('Pivot Table for Data Exchange'!$Q$264)*100</f>
        <v>0</v>
      </c>
      <c r="F448" s="168">
        <f>('Pivot Table for Data Exchange'!$Q$267)*100</f>
        <v>0</v>
      </c>
      <c r="G448" s="176">
        <f>('Pivot Table for Data Exchange'!$Q$270)*100</f>
        <v>0</v>
      </c>
      <c r="H448" s="168">
        <f>('Pivot Table for Data Exchange'!$Q$273)*100</f>
        <v>0</v>
      </c>
      <c r="I448" s="139"/>
      <c r="J448" s="207"/>
      <c r="K448" s="207"/>
      <c r="L448" s="207"/>
      <c r="M448" s="207"/>
      <c r="N448" s="207"/>
      <c r="O448" s="207"/>
      <c r="P448" s="207"/>
      <c r="Q448" s="173">
        <f t="shared" si="83"/>
        <v>0</v>
      </c>
      <c r="R448" s="173"/>
      <c r="S448" s="174"/>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row>
    <row r="449" spans="1:41" ht="15.75" customHeight="1">
      <c r="B449" s="168"/>
      <c r="C449" s="168"/>
      <c r="D449" s="169"/>
      <c r="E449" s="168"/>
      <c r="F449" s="168"/>
      <c r="G449" s="176"/>
      <c r="H449" s="168"/>
      <c r="I449" s="139"/>
      <c r="J449" s="207"/>
      <c r="K449" s="207"/>
      <c r="L449" s="207"/>
      <c r="M449" s="207"/>
      <c r="N449" s="207"/>
      <c r="O449" s="207"/>
      <c r="P449" s="207"/>
      <c r="Q449" s="173">
        <f t="shared" si="83"/>
        <v>0</v>
      </c>
      <c r="R449" s="173"/>
      <c r="S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row>
    <row r="450" spans="1:41" ht="15.75" customHeight="1">
      <c r="A450" s="139" t="s">
        <v>626</v>
      </c>
      <c r="B450" s="168">
        <f>('Pivot Table for Data Exchange'!$Q$294)*100</f>
        <v>0</v>
      </c>
      <c r="C450" s="168">
        <f>('Pivot Table for Data Exchange'!$Q$297)*100</f>
        <v>0</v>
      </c>
      <c r="D450" s="169">
        <f t="shared" ref="D450:D452" si="91">SUM(E450:G450)</f>
        <v>0</v>
      </c>
      <c r="E450" s="168">
        <f>('Pivot Table for Data Exchange'!$Q$300)*100</f>
        <v>0</v>
      </c>
      <c r="F450" s="168">
        <f>('Pivot Table for Data Exchange'!$Q$303)*100</f>
        <v>0</v>
      </c>
      <c r="G450" s="176">
        <f>('Pivot Table for Data Exchange'!$Q$306)*100</f>
        <v>0</v>
      </c>
      <c r="H450" s="168">
        <f>('Pivot Table for Data Exchange'!$Q$309)*100</f>
        <v>0</v>
      </c>
      <c r="I450" s="139"/>
      <c r="J450" s="207"/>
      <c r="K450" s="207"/>
      <c r="L450" s="207"/>
      <c r="M450" s="207"/>
      <c r="N450" s="207"/>
      <c r="O450" s="207"/>
      <c r="P450" s="207"/>
      <c r="Q450" s="173">
        <f t="shared" si="83"/>
        <v>0</v>
      </c>
      <c r="R450" s="173"/>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row>
    <row r="451" spans="1:41" ht="15.75" customHeight="1">
      <c r="A451" s="139" t="s">
        <v>627</v>
      </c>
      <c r="B451" s="168">
        <f>('Pivot Table for Data Exchange'!$Q$330)*100</f>
        <v>0</v>
      </c>
      <c r="C451" s="168">
        <f>('Pivot Table for Data Exchange'!$Q$333)*100</f>
        <v>0</v>
      </c>
      <c r="D451" s="169">
        <f t="shared" si="91"/>
        <v>0</v>
      </c>
      <c r="E451" s="168">
        <f>('Pivot Table for Data Exchange'!$Q$336)*100</f>
        <v>0</v>
      </c>
      <c r="F451" s="168">
        <f>('Pivot Table for Data Exchange'!$Q$339)*100</f>
        <v>0</v>
      </c>
      <c r="G451" s="176">
        <f>('Pivot Table for Data Exchange'!$Q$342)*100</f>
        <v>0</v>
      </c>
      <c r="H451" s="168">
        <f>('Pivot Table for Data Exchange'!$Q$345)*100</f>
        <v>0</v>
      </c>
      <c r="I451" s="139"/>
      <c r="J451" s="207"/>
      <c r="K451" s="207"/>
      <c r="L451" s="207"/>
      <c r="M451" s="207"/>
      <c r="N451" s="207"/>
      <c r="O451" s="207"/>
      <c r="P451" s="207"/>
      <c r="Q451" s="173">
        <f t="shared" si="83"/>
        <v>0</v>
      </c>
      <c r="R451" s="173"/>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row>
    <row r="452" spans="1:41" ht="15.75" customHeight="1">
      <c r="A452" s="139" t="s">
        <v>628</v>
      </c>
      <c r="B452" s="168">
        <f>('Pivot Table for Data Exchange'!$Q$366)*100</f>
        <v>0</v>
      </c>
      <c r="C452" s="168">
        <f>('Pivot Table for Data Exchange'!$Q$369)*100</f>
        <v>0</v>
      </c>
      <c r="D452" s="169">
        <f t="shared" si="91"/>
        <v>0</v>
      </c>
      <c r="E452" s="168">
        <f>('Pivot Table for Data Exchange'!$Q$372)*100</f>
        <v>0</v>
      </c>
      <c r="F452" s="168">
        <f>('Pivot Table for Data Exchange'!$Q$375)*100</f>
        <v>0</v>
      </c>
      <c r="G452" s="176">
        <f>('Pivot Table for Data Exchange'!$Q$378)*100</f>
        <v>0</v>
      </c>
      <c r="H452" s="168">
        <f>('Pivot Table for Data Exchange'!$Q$381)*100</f>
        <v>0</v>
      </c>
      <c r="I452" s="139"/>
      <c r="J452" s="207"/>
      <c r="K452" s="207"/>
      <c r="L452" s="207"/>
      <c r="M452" s="207"/>
      <c r="N452" s="207"/>
      <c r="O452" s="207"/>
      <c r="P452" s="207"/>
      <c r="Q452" s="173">
        <f t="shared" si="83"/>
        <v>0</v>
      </c>
      <c r="R452" s="173"/>
      <c r="S452" s="174"/>
      <c r="T452" s="148"/>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row>
    <row r="453" spans="1:41" ht="15.75" customHeight="1">
      <c r="A453" s="139" t="s">
        <v>629</v>
      </c>
      <c r="B453" s="168">
        <f>('Pivot Table for Data Exchange'!$Q$402)*100</f>
        <v>0</v>
      </c>
      <c r="C453" s="168">
        <f>('Pivot Table for Data Exchange'!$Q$405)*100</f>
        <v>0</v>
      </c>
      <c r="D453" s="169">
        <f>SUM(E453:G453)</f>
        <v>0</v>
      </c>
      <c r="E453" s="168">
        <f>('Pivot Table for Data Exchange'!$Q$408)*100</f>
        <v>0</v>
      </c>
      <c r="F453" s="168">
        <f>('Pivot Table for Data Exchange'!$Q$411)*100</f>
        <v>0</v>
      </c>
      <c r="G453" s="176">
        <f>('Pivot Table for Data Exchange'!$Q$414)*100</f>
        <v>0</v>
      </c>
      <c r="H453" s="168">
        <f>('Pivot Table for Data Exchange'!$Q$417)*100</f>
        <v>0</v>
      </c>
      <c r="I453" s="139"/>
      <c r="J453" s="207"/>
      <c r="K453" s="207"/>
      <c r="L453" s="207"/>
      <c r="M453" s="207"/>
      <c r="N453" s="207"/>
      <c r="O453" s="207"/>
      <c r="P453" s="207"/>
      <c r="Q453" s="173">
        <f t="shared" si="83"/>
        <v>0</v>
      </c>
      <c r="R453" s="173"/>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row>
    <row r="454" spans="1:41" ht="15.75" customHeight="1">
      <c r="B454" s="168"/>
      <c r="C454" s="168"/>
      <c r="D454" s="169"/>
      <c r="E454" s="168"/>
      <c r="F454" s="168"/>
      <c r="G454" s="176"/>
      <c r="H454" s="168"/>
      <c r="I454" s="139"/>
      <c r="J454" s="207"/>
      <c r="K454" s="207"/>
      <c r="L454" s="207"/>
      <c r="M454" s="207"/>
      <c r="N454" s="207"/>
      <c r="O454" s="207"/>
      <c r="P454" s="207"/>
      <c r="Q454" s="173">
        <f t="shared" si="83"/>
        <v>0</v>
      </c>
      <c r="R454" s="173"/>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row>
    <row r="455" spans="1:41" ht="15.75" customHeight="1">
      <c r="A455" s="139" t="s">
        <v>630</v>
      </c>
      <c r="B455" s="168">
        <f>('Pivot Table for Data Exchange'!$Q$438)*100</f>
        <v>0</v>
      </c>
      <c r="C455" s="168">
        <f>('Pivot Table for Data Exchange'!$Q$441)*100</f>
        <v>0</v>
      </c>
      <c r="D455" s="169">
        <f>SUM(E455:G455)</f>
        <v>0</v>
      </c>
      <c r="E455" s="168">
        <f>('Pivot Table for Data Exchange'!$Q$444)*100</f>
        <v>0</v>
      </c>
      <c r="F455" s="168">
        <f>('Pivot Table for Data Exchange'!$Q$447)*100</f>
        <v>0</v>
      </c>
      <c r="G455" s="176">
        <f>('Pivot Table for Data Exchange'!$Q$450)*100</f>
        <v>0</v>
      </c>
      <c r="H455" s="168">
        <f>('Pivot Table for Data Exchange'!$Q$453)*100</f>
        <v>0</v>
      </c>
      <c r="I455" s="139"/>
      <c r="J455" s="207"/>
      <c r="K455" s="207"/>
      <c r="L455" s="207"/>
      <c r="M455" s="207"/>
      <c r="N455" s="207"/>
      <c r="O455" s="207"/>
      <c r="P455" s="207"/>
      <c r="Q455" s="173">
        <f t="shared" si="83"/>
        <v>0</v>
      </c>
      <c r="R455" s="173"/>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row>
    <row r="456" spans="1:41" ht="15.75" customHeight="1">
      <c r="A456" s="139" t="s">
        <v>631</v>
      </c>
      <c r="B456" s="168">
        <f>('Pivot Table for Data Exchange'!$Q$474)*100</f>
        <v>0</v>
      </c>
      <c r="C456" s="168">
        <f>('Pivot Table for Data Exchange'!$Q$477)*100</f>
        <v>0</v>
      </c>
      <c r="D456" s="169">
        <f>SUM(E456:G456)</f>
        <v>0</v>
      </c>
      <c r="E456" s="168">
        <f>('Pivot Table for Data Exchange'!$Q$480)*100</f>
        <v>0</v>
      </c>
      <c r="F456" s="168">
        <f>('Pivot Table for Data Exchange'!$Q$483)*100</f>
        <v>0</v>
      </c>
      <c r="G456" s="176">
        <f>('Pivot Table for Data Exchange'!$Q$486)*100</f>
        <v>0</v>
      </c>
      <c r="H456" s="168">
        <f>('Pivot Table for Data Exchange'!$Q$489)*100</f>
        <v>0</v>
      </c>
      <c r="I456" s="139"/>
      <c r="J456" s="207"/>
      <c r="K456" s="207"/>
      <c r="L456" s="207"/>
      <c r="M456" s="207"/>
      <c r="N456" s="207"/>
      <c r="O456" s="207"/>
      <c r="P456" s="207"/>
      <c r="Q456" s="173">
        <f t="shared" si="83"/>
        <v>0</v>
      </c>
      <c r="R456" s="173"/>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row>
    <row r="457" spans="1:41" ht="15.75" customHeight="1">
      <c r="A457" s="139" t="s">
        <v>632</v>
      </c>
      <c r="B457" s="168">
        <f>('Pivot Table for Data Exchange'!$Q$510)*100</f>
        <v>0</v>
      </c>
      <c r="C457" s="168">
        <f>('Pivot Table for Data Exchange'!$Q$513)*100</f>
        <v>0</v>
      </c>
      <c r="D457" s="169">
        <f t="shared" ref="D457" si="92">SUM(E457:G457)</f>
        <v>0</v>
      </c>
      <c r="E457" s="168">
        <f>('Pivot Table for Data Exchange'!$Q$516)*100</f>
        <v>0</v>
      </c>
      <c r="F457" s="168">
        <f>('Pivot Table for Data Exchange'!$Q$519)*100</f>
        <v>0</v>
      </c>
      <c r="G457" s="176">
        <f>('Pivot Table for Data Exchange'!$Q$522)*100</f>
        <v>0</v>
      </c>
      <c r="H457" s="168">
        <f>('Pivot Table for Data Exchange'!$Q$525)*100</f>
        <v>0</v>
      </c>
      <c r="I457" s="139"/>
      <c r="J457" s="207"/>
      <c r="K457" s="207"/>
      <c r="L457" s="207"/>
      <c r="M457" s="207"/>
      <c r="N457" s="207"/>
      <c r="O457" s="207"/>
      <c r="P457" s="207"/>
      <c r="Q457" s="173">
        <f t="shared" si="83"/>
        <v>0</v>
      </c>
      <c r="R457" s="173"/>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row>
    <row r="458" spans="1:41" ht="15.75" customHeight="1">
      <c r="A458" s="145" t="s">
        <v>633</v>
      </c>
      <c r="B458" s="181">
        <f>('Pivot Table for Data Exchange'!$Q$546)*100</f>
        <v>0</v>
      </c>
      <c r="C458" s="181">
        <f>('Pivot Table for Data Exchange'!$Q$549)*100</f>
        <v>0</v>
      </c>
      <c r="D458" s="182">
        <f>SUM(E458:G458)</f>
        <v>0</v>
      </c>
      <c r="E458" s="181">
        <f>('Pivot Table for Data Exchange'!$Q$552)*100</f>
        <v>0</v>
      </c>
      <c r="F458" s="181">
        <f>('Pivot Table for Data Exchange'!$Q$555)*100</f>
        <v>0</v>
      </c>
      <c r="G458" s="183">
        <f>('Pivot Table for Data Exchange'!$Q$558)*100</f>
        <v>0</v>
      </c>
      <c r="H458" s="181">
        <f>('Pivot Table for Data Exchange'!$Q$561)*100</f>
        <v>0</v>
      </c>
      <c r="I458" s="139"/>
      <c r="J458" s="207"/>
      <c r="K458" s="207"/>
      <c r="L458" s="207"/>
      <c r="M458" s="207"/>
      <c r="N458" s="207"/>
      <c r="O458" s="207"/>
      <c r="P458" s="207"/>
      <c r="Q458" s="173">
        <f>SUM(B458,C458,D458,H458)</f>
        <v>0</v>
      </c>
      <c r="R458" s="173"/>
      <c r="S458" s="174"/>
      <c r="T458" s="174"/>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row>
    <row r="459" spans="1:41" s="186" customFormat="1" ht="12.75" customHeight="1">
      <c r="A459" s="187" t="s">
        <v>658</v>
      </c>
      <c r="B459" s="188"/>
      <c r="C459" s="188"/>
      <c r="D459" s="189"/>
      <c r="E459" s="188"/>
      <c r="F459" s="189"/>
      <c r="G459" s="189"/>
      <c r="H459" s="188"/>
      <c r="I459" s="197"/>
      <c r="J459" s="188"/>
      <c r="K459" s="188"/>
      <c r="L459" s="189"/>
      <c r="M459" s="188"/>
      <c r="N459" s="189"/>
      <c r="O459" s="189"/>
      <c r="P459" s="188"/>
      <c r="Q459" s="208"/>
      <c r="R459" s="208"/>
      <c r="S459" s="190"/>
      <c r="T459" s="190"/>
      <c r="U459" s="190"/>
      <c r="V459" s="190"/>
      <c r="W459" s="190"/>
      <c r="X459" s="190"/>
      <c r="Y459" s="190"/>
      <c r="Z459" s="190"/>
      <c r="AA459" s="190"/>
      <c r="AB459" s="190"/>
      <c r="AC459" s="190"/>
      <c r="AD459" s="190"/>
      <c r="AE459" s="190"/>
      <c r="AF459" s="190"/>
      <c r="AG459" s="190"/>
      <c r="AH459" s="190"/>
      <c r="AI459" s="190"/>
      <c r="AJ459" s="190"/>
      <c r="AK459" s="190"/>
      <c r="AL459" s="190"/>
      <c r="AM459" s="190"/>
      <c r="AN459" s="190"/>
      <c r="AO459" s="190"/>
    </row>
    <row r="460" spans="1:41" s="186" customFormat="1" ht="13.5" customHeight="1">
      <c r="A460" s="197"/>
      <c r="B460" s="188"/>
      <c r="C460" s="188"/>
      <c r="D460" s="189"/>
      <c r="E460" s="188"/>
      <c r="F460" s="189"/>
      <c r="G460" s="189"/>
      <c r="H460" s="188"/>
      <c r="I460" s="197"/>
      <c r="J460" s="188"/>
      <c r="K460" s="188"/>
      <c r="L460" s="189"/>
      <c r="M460" s="188"/>
      <c r="N460" s="189"/>
      <c r="O460" s="189"/>
      <c r="P460" s="188"/>
      <c r="Q460" s="208"/>
      <c r="R460" s="208"/>
      <c r="S460" s="190"/>
      <c r="T460" s="190"/>
      <c r="U460" s="190"/>
      <c r="V460" s="190"/>
      <c r="W460" s="190"/>
      <c r="X460" s="190"/>
      <c r="Y460" s="190"/>
      <c r="Z460" s="190"/>
      <c r="AA460" s="190"/>
      <c r="AB460" s="190"/>
      <c r="AC460" s="190"/>
      <c r="AD460" s="190"/>
      <c r="AE460" s="190"/>
      <c r="AF460" s="190"/>
      <c r="AG460" s="190"/>
      <c r="AH460" s="190"/>
      <c r="AI460" s="190"/>
      <c r="AJ460" s="190"/>
      <c r="AK460" s="190"/>
      <c r="AL460" s="190"/>
      <c r="AM460" s="190"/>
      <c r="AN460" s="190"/>
      <c r="AO460" s="190"/>
    </row>
    <row r="461" spans="1:41" s="186" customFormat="1" ht="13.5" customHeight="1">
      <c r="A461" s="197"/>
      <c r="B461" s="198"/>
      <c r="H461" s="192" t="s">
        <v>923</v>
      </c>
      <c r="I461" s="197"/>
      <c r="P461" s="199"/>
      <c r="Q461" s="216"/>
      <c r="R461" s="209"/>
    </row>
    <row r="462" spans="1:41" s="186" customFormat="1" ht="13.5" customHeight="1">
      <c r="A462" s="197"/>
      <c r="I462" s="197"/>
      <c r="Q462" s="216"/>
      <c r="R462" s="209"/>
    </row>
    <row r="463" spans="1:41" s="186" customFormat="1" ht="13.5" customHeight="1">
      <c r="A463" s="197"/>
      <c r="I463" s="197"/>
      <c r="Q463" s="216"/>
      <c r="R463" s="209"/>
    </row>
    <row r="465" spans="8:18" s="217" customFormat="1">
      <c r="H465" s="139"/>
      <c r="I465" s="205"/>
      <c r="J465" s="139"/>
      <c r="K465" s="139"/>
      <c r="L465" s="139"/>
      <c r="M465" s="139"/>
      <c r="N465" s="139"/>
      <c r="O465" s="139"/>
      <c r="P465" s="139"/>
      <c r="Q465" s="143"/>
      <c r="R465" s="149"/>
    </row>
    <row r="466" spans="8:18" s="217" customFormat="1">
      <c r="H466" s="139"/>
      <c r="I466" s="205"/>
      <c r="J466" s="139"/>
      <c r="K466" s="139"/>
      <c r="L466" s="139"/>
      <c r="M466" s="139"/>
      <c r="N466" s="139"/>
      <c r="O466" s="139"/>
      <c r="P466" s="139"/>
      <c r="Q466" s="143"/>
      <c r="R466" s="149"/>
    </row>
    <row r="467" spans="8:18" s="217" customFormat="1">
      <c r="H467" s="139"/>
      <c r="I467" s="205"/>
      <c r="J467" s="139"/>
      <c r="K467" s="139"/>
      <c r="L467" s="139"/>
      <c r="M467" s="139"/>
      <c r="N467" s="139"/>
      <c r="O467" s="139"/>
      <c r="P467" s="139"/>
      <c r="Q467" s="143"/>
      <c r="R467" s="149"/>
    </row>
    <row r="468" spans="8:18" s="217" customFormat="1">
      <c r="H468" s="139"/>
      <c r="I468" s="205"/>
      <c r="J468" s="139"/>
      <c r="K468" s="139"/>
      <c r="L468" s="139"/>
      <c r="M468" s="139"/>
      <c r="N468" s="139"/>
      <c r="O468" s="139"/>
      <c r="P468" s="139"/>
      <c r="Q468" s="143"/>
      <c r="R468" s="149"/>
    </row>
    <row r="469" spans="8:18" s="217" customFormat="1">
      <c r="H469" s="139"/>
      <c r="I469" s="205"/>
      <c r="J469" s="139"/>
      <c r="K469" s="139"/>
      <c r="L469" s="139"/>
      <c r="M469" s="139"/>
      <c r="N469" s="139"/>
      <c r="O469" s="139"/>
      <c r="P469" s="139"/>
      <c r="Q469" s="143"/>
      <c r="R469" s="149"/>
    </row>
    <row r="470" spans="8:18" s="217" customFormat="1">
      <c r="H470" s="139"/>
      <c r="I470" s="205"/>
      <c r="J470" s="139"/>
      <c r="K470" s="139"/>
      <c r="L470" s="139"/>
      <c r="M470" s="139"/>
      <c r="N470" s="139"/>
      <c r="O470" s="139"/>
      <c r="P470" s="139"/>
      <c r="Q470" s="143"/>
      <c r="R470" s="149"/>
    </row>
    <row r="471" spans="8:18" s="217" customFormat="1">
      <c r="H471" s="139"/>
      <c r="I471" s="205"/>
      <c r="J471" s="139"/>
      <c r="K471" s="139"/>
      <c r="L471" s="139"/>
      <c r="M471" s="139"/>
      <c r="N471" s="139"/>
      <c r="O471" s="139"/>
      <c r="P471" s="139"/>
      <c r="Q471" s="143"/>
      <c r="R471" s="149"/>
    </row>
    <row r="472" spans="8:18" s="217" customFormat="1">
      <c r="H472" s="139"/>
      <c r="I472" s="205"/>
      <c r="J472" s="139"/>
      <c r="K472" s="139"/>
      <c r="L472" s="139"/>
      <c r="M472" s="139"/>
      <c r="N472" s="139"/>
      <c r="O472" s="139"/>
      <c r="P472" s="139"/>
      <c r="Q472" s="143"/>
      <c r="R472" s="149"/>
    </row>
    <row r="473" spans="8:18" s="217" customFormat="1">
      <c r="H473" s="139"/>
      <c r="I473" s="205"/>
      <c r="J473" s="139"/>
      <c r="K473" s="139"/>
      <c r="L473" s="139"/>
      <c r="M473" s="139"/>
      <c r="N473" s="139"/>
      <c r="O473" s="139"/>
      <c r="P473" s="139"/>
      <c r="Q473" s="143"/>
      <c r="R473" s="149"/>
    </row>
    <row r="474" spans="8:18" s="217" customFormat="1">
      <c r="H474" s="139"/>
      <c r="I474" s="205"/>
      <c r="J474" s="139"/>
      <c r="K474" s="139"/>
      <c r="L474" s="139"/>
      <c r="M474" s="139"/>
      <c r="N474" s="139"/>
      <c r="O474" s="139"/>
      <c r="P474" s="139"/>
      <c r="Q474" s="143"/>
      <c r="R474" s="149"/>
    </row>
    <row r="475" spans="8:18" s="217" customFormat="1">
      <c r="H475" s="139"/>
      <c r="I475" s="205"/>
      <c r="J475" s="139"/>
      <c r="K475" s="139"/>
      <c r="L475" s="139"/>
      <c r="M475" s="139"/>
      <c r="N475" s="139"/>
      <c r="O475" s="139"/>
      <c r="P475" s="139"/>
      <c r="Q475" s="143"/>
      <c r="R475" s="149"/>
    </row>
    <row r="476" spans="8:18" s="217" customFormat="1">
      <c r="H476" s="139"/>
      <c r="I476" s="205"/>
      <c r="J476" s="139"/>
      <c r="K476" s="139"/>
      <c r="L476" s="139"/>
      <c r="M476" s="139"/>
      <c r="N476" s="139"/>
      <c r="O476" s="139"/>
      <c r="P476" s="139"/>
      <c r="Q476" s="143"/>
      <c r="R476" s="149"/>
    </row>
    <row r="477" spans="8:18" s="217" customFormat="1">
      <c r="H477" s="139"/>
      <c r="I477" s="205"/>
      <c r="J477" s="139"/>
      <c r="K477" s="139"/>
      <c r="L477" s="139"/>
      <c r="M477" s="139"/>
      <c r="N477" s="139"/>
      <c r="O477" s="139"/>
      <c r="P477" s="139"/>
      <c r="Q477" s="143"/>
      <c r="R477" s="149"/>
    </row>
    <row r="478" spans="8:18" s="217" customFormat="1">
      <c r="H478" s="139"/>
      <c r="I478" s="205"/>
      <c r="J478" s="139"/>
      <c r="K478" s="139"/>
      <c r="L478" s="139"/>
      <c r="M478" s="139"/>
      <c r="N478" s="139"/>
      <c r="O478" s="139"/>
      <c r="P478" s="139"/>
      <c r="Q478" s="143"/>
      <c r="R478" s="149"/>
    </row>
    <row r="479" spans="8:18" s="217" customFormat="1">
      <c r="H479" s="139"/>
      <c r="I479" s="205"/>
      <c r="J479" s="139"/>
      <c r="K479" s="139"/>
      <c r="L479" s="139"/>
      <c r="M479" s="139"/>
      <c r="N479" s="139"/>
      <c r="O479" s="139"/>
      <c r="P479" s="139"/>
      <c r="Q479" s="143"/>
      <c r="R479" s="149"/>
    </row>
    <row r="480" spans="8:18" s="217" customFormat="1">
      <c r="H480" s="139"/>
      <c r="I480" s="205"/>
      <c r="J480" s="139"/>
      <c r="K480" s="139"/>
      <c r="L480" s="139"/>
      <c r="M480" s="139"/>
      <c r="N480" s="139"/>
      <c r="O480" s="139"/>
      <c r="P480" s="139"/>
      <c r="Q480" s="143"/>
      <c r="R480" s="149"/>
    </row>
    <row r="481" spans="8:18" s="217" customFormat="1">
      <c r="H481" s="139"/>
      <c r="I481" s="205"/>
      <c r="J481" s="139"/>
      <c r="K481" s="139"/>
      <c r="L481" s="139"/>
      <c r="M481" s="139"/>
      <c r="N481" s="139"/>
      <c r="O481" s="139"/>
      <c r="P481" s="139"/>
      <c r="Q481" s="143"/>
      <c r="R481" s="149"/>
    </row>
    <row r="482" spans="8:18" s="217" customFormat="1">
      <c r="H482" s="139"/>
      <c r="I482" s="205"/>
      <c r="J482" s="139"/>
      <c r="K482" s="139"/>
      <c r="L482" s="139"/>
      <c r="M482" s="139"/>
      <c r="N482" s="139"/>
      <c r="O482" s="139"/>
      <c r="P482" s="139"/>
      <c r="Q482" s="143"/>
      <c r="R482" s="149"/>
    </row>
    <row r="483" spans="8:18" s="217" customFormat="1">
      <c r="H483" s="139"/>
      <c r="I483" s="205"/>
      <c r="J483" s="139"/>
      <c r="K483" s="139"/>
      <c r="L483" s="139"/>
      <c r="M483" s="139"/>
      <c r="N483" s="139"/>
      <c r="O483" s="139"/>
      <c r="P483" s="139"/>
      <c r="Q483" s="143"/>
      <c r="R483" s="149"/>
    </row>
    <row r="484" spans="8:18" s="217" customFormat="1">
      <c r="H484" s="139"/>
      <c r="I484" s="205"/>
      <c r="J484" s="139"/>
      <c r="K484" s="139"/>
      <c r="L484" s="139"/>
      <c r="M484" s="139"/>
      <c r="N484" s="139"/>
      <c r="O484" s="139"/>
      <c r="P484" s="139"/>
      <c r="Q484" s="143"/>
      <c r="R484" s="149"/>
    </row>
    <row r="485" spans="8:18" s="217" customFormat="1">
      <c r="H485" s="139"/>
      <c r="I485" s="205"/>
      <c r="J485" s="139"/>
      <c r="K485" s="139"/>
      <c r="L485" s="139"/>
      <c r="M485" s="139"/>
      <c r="N485" s="139"/>
      <c r="O485" s="139"/>
      <c r="P485" s="139"/>
      <c r="Q485" s="143"/>
      <c r="R485" s="149"/>
    </row>
    <row r="486" spans="8:18" s="217" customFormat="1">
      <c r="H486" s="139"/>
      <c r="I486" s="205"/>
      <c r="J486" s="139"/>
      <c r="K486" s="139"/>
      <c r="L486" s="139"/>
      <c r="M486" s="139"/>
      <c r="N486" s="139"/>
      <c r="O486" s="139"/>
      <c r="P486" s="139"/>
      <c r="Q486" s="143"/>
      <c r="R486" s="149"/>
    </row>
    <row r="487" spans="8:18" s="217" customFormat="1">
      <c r="H487" s="139"/>
      <c r="I487" s="205"/>
      <c r="J487" s="139"/>
      <c r="K487" s="139"/>
      <c r="L487" s="139"/>
      <c r="M487" s="139"/>
      <c r="N487" s="139"/>
      <c r="O487" s="139"/>
      <c r="P487" s="139"/>
      <c r="Q487" s="143"/>
      <c r="R487" s="149"/>
    </row>
    <row r="488" spans="8:18" s="217" customFormat="1">
      <c r="H488" s="139"/>
      <c r="I488" s="205"/>
      <c r="J488" s="139"/>
      <c r="K488" s="139"/>
      <c r="L488" s="139"/>
      <c r="M488" s="139"/>
      <c r="N488" s="139"/>
      <c r="O488" s="139"/>
      <c r="P488" s="139"/>
      <c r="Q488" s="143"/>
      <c r="R488" s="149"/>
    </row>
    <row r="489" spans="8:18" s="217" customFormat="1">
      <c r="H489" s="139"/>
      <c r="I489" s="205"/>
      <c r="J489" s="139"/>
      <c r="K489" s="139"/>
      <c r="L489" s="139"/>
      <c r="M489" s="139"/>
      <c r="N489" s="139"/>
      <c r="O489" s="139"/>
      <c r="P489" s="139"/>
      <c r="Q489" s="143"/>
      <c r="R489" s="149"/>
    </row>
    <row r="490" spans="8:18" s="217" customFormat="1">
      <c r="H490" s="139"/>
      <c r="I490" s="205"/>
      <c r="J490" s="139"/>
      <c r="K490" s="139"/>
      <c r="L490" s="139"/>
      <c r="M490" s="139"/>
      <c r="N490" s="139"/>
      <c r="O490" s="139"/>
      <c r="P490" s="139"/>
      <c r="Q490" s="143"/>
      <c r="R490" s="149"/>
    </row>
    <row r="491" spans="8:18" s="217" customFormat="1">
      <c r="H491" s="139"/>
      <c r="I491" s="205"/>
      <c r="J491" s="139"/>
      <c r="K491" s="139"/>
      <c r="L491" s="139"/>
      <c r="M491" s="139"/>
      <c r="N491" s="139"/>
      <c r="O491" s="139"/>
      <c r="P491" s="139"/>
      <c r="Q491" s="143"/>
      <c r="R491" s="149"/>
    </row>
    <row r="492" spans="8:18" s="217" customFormat="1">
      <c r="H492" s="139"/>
      <c r="I492" s="205"/>
      <c r="J492" s="139"/>
      <c r="K492" s="139"/>
      <c r="L492" s="139"/>
      <c r="M492" s="139"/>
      <c r="N492" s="139"/>
      <c r="O492" s="139"/>
      <c r="P492" s="139"/>
      <c r="Q492" s="143"/>
      <c r="R492" s="149"/>
    </row>
    <row r="493" spans="8:18" s="217" customFormat="1">
      <c r="H493" s="139"/>
      <c r="I493" s="205"/>
      <c r="J493" s="139"/>
      <c r="K493" s="139"/>
      <c r="L493" s="139"/>
      <c r="M493" s="139"/>
      <c r="N493" s="139"/>
      <c r="O493" s="139"/>
      <c r="P493" s="139"/>
      <c r="Q493" s="143"/>
      <c r="R493" s="149"/>
    </row>
    <row r="494" spans="8:18" s="217" customFormat="1">
      <c r="H494" s="139"/>
      <c r="I494" s="205"/>
      <c r="J494" s="139"/>
      <c r="K494" s="139"/>
      <c r="L494" s="139"/>
      <c r="M494" s="139"/>
      <c r="N494" s="139"/>
      <c r="O494" s="139"/>
      <c r="P494" s="139"/>
      <c r="Q494" s="143"/>
      <c r="R494" s="149"/>
    </row>
    <row r="495" spans="8:18" s="217" customFormat="1">
      <c r="H495" s="139"/>
      <c r="I495" s="205"/>
      <c r="J495" s="139"/>
      <c r="K495" s="139"/>
      <c r="L495" s="139"/>
      <c r="M495" s="139"/>
      <c r="N495" s="139"/>
      <c r="O495" s="139"/>
      <c r="P495" s="139"/>
      <c r="Q495" s="143"/>
      <c r="R495" s="149"/>
    </row>
    <row r="496" spans="8:18" s="217" customFormat="1">
      <c r="H496" s="139"/>
      <c r="I496" s="205"/>
      <c r="J496" s="139"/>
      <c r="K496" s="139"/>
      <c r="L496" s="139"/>
      <c r="M496" s="139"/>
      <c r="N496" s="139"/>
      <c r="O496" s="139"/>
      <c r="P496" s="139"/>
      <c r="Q496" s="143"/>
      <c r="R496" s="149"/>
    </row>
    <row r="497" spans="8:18" s="217" customFormat="1">
      <c r="H497" s="139"/>
      <c r="I497" s="205"/>
      <c r="J497" s="139"/>
      <c r="K497" s="139"/>
      <c r="L497" s="139"/>
      <c r="M497" s="139"/>
      <c r="N497" s="139"/>
      <c r="O497" s="139"/>
      <c r="P497" s="139"/>
      <c r="Q497" s="143"/>
      <c r="R497" s="149"/>
    </row>
    <row r="498" spans="8:18" s="217" customFormat="1">
      <c r="H498" s="139"/>
      <c r="I498" s="205"/>
      <c r="J498" s="139"/>
      <c r="K498" s="139"/>
      <c r="L498" s="139"/>
      <c r="M498" s="139"/>
      <c r="N498" s="139"/>
      <c r="O498" s="139"/>
      <c r="P498" s="139"/>
      <c r="Q498" s="143"/>
      <c r="R498" s="149"/>
    </row>
    <row r="499" spans="8:18" s="217" customFormat="1">
      <c r="H499" s="139"/>
      <c r="I499" s="205"/>
      <c r="J499" s="139"/>
      <c r="K499" s="139"/>
      <c r="L499" s="139"/>
      <c r="M499" s="139"/>
      <c r="N499" s="139"/>
      <c r="O499" s="139"/>
      <c r="P499" s="139"/>
      <c r="Q499" s="143"/>
      <c r="R499" s="149"/>
    </row>
    <row r="500" spans="8:18" s="217" customFormat="1">
      <c r="H500" s="139"/>
      <c r="I500" s="205"/>
      <c r="J500" s="139"/>
      <c r="K500" s="139"/>
      <c r="L500" s="139"/>
      <c r="M500" s="139"/>
      <c r="N500" s="139"/>
      <c r="O500" s="139"/>
      <c r="P500" s="139"/>
      <c r="Q500" s="143"/>
      <c r="R500" s="149"/>
    </row>
    <row r="501" spans="8:18" s="217" customFormat="1">
      <c r="H501" s="139"/>
      <c r="I501" s="205"/>
      <c r="J501" s="139"/>
      <c r="K501" s="139"/>
      <c r="L501" s="139"/>
      <c r="M501" s="139"/>
      <c r="N501" s="139"/>
      <c r="O501" s="139"/>
      <c r="P501" s="139"/>
      <c r="Q501" s="143"/>
      <c r="R501" s="149"/>
    </row>
    <row r="502" spans="8:18" s="217" customFormat="1">
      <c r="H502" s="139"/>
      <c r="I502" s="205"/>
      <c r="J502" s="139"/>
      <c r="K502" s="139"/>
      <c r="L502" s="139"/>
      <c r="M502" s="139"/>
      <c r="N502" s="139"/>
      <c r="O502" s="139"/>
      <c r="P502" s="139"/>
      <c r="Q502" s="143"/>
      <c r="R502" s="149"/>
    </row>
    <row r="503" spans="8:18" s="217" customFormat="1">
      <c r="H503" s="139"/>
      <c r="I503" s="205"/>
      <c r="J503" s="139"/>
      <c r="K503" s="139"/>
      <c r="L503" s="139"/>
      <c r="M503" s="139"/>
      <c r="N503" s="139"/>
      <c r="O503" s="139"/>
      <c r="P503" s="139"/>
      <c r="Q503" s="143"/>
      <c r="R503" s="149"/>
    </row>
    <row r="504" spans="8:18" s="217" customFormat="1">
      <c r="H504" s="139"/>
      <c r="I504" s="205"/>
      <c r="J504" s="139"/>
      <c r="K504" s="139"/>
      <c r="L504" s="139"/>
      <c r="M504" s="139"/>
      <c r="N504" s="139"/>
      <c r="O504" s="139"/>
      <c r="P504" s="139"/>
      <c r="Q504" s="143"/>
      <c r="R504" s="149"/>
    </row>
    <row r="505" spans="8:18" s="217" customFormat="1">
      <c r="H505" s="139"/>
      <c r="I505" s="205"/>
      <c r="J505" s="139"/>
      <c r="K505" s="139"/>
      <c r="L505" s="139"/>
      <c r="M505" s="139"/>
      <c r="N505" s="139"/>
      <c r="O505" s="139"/>
      <c r="P505" s="139"/>
      <c r="Q505" s="143"/>
      <c r="R505" s="149"/>
    </row>
    <row r="506" spans="8:18" s="217" customFormat="1">
      <c r="H506" s="139"/>
      <c r="I506" s="205"/>
      <c r="J506" s="139"/>
      <c r="K506" s="139"/>
      <c r="L506" s="139"/>
      <c r="M506" s="139"/>
      <c r="N506" s="139"/>
      <c r="O506" s="139"/>
      <c r="P506" s="139"/>
      <c r="Q506" s="143"/>
      <c r="R506" s="149"/>
    </row>
    <row r="507" spans="8:18" s="217" customFormat="1">
      <c r="H507" s="139"/>
      <c r="I507" s="205"/>
      <c r="J507" s="139"/>
      <c r="K507" s="139"/>
      <c r="L507" s="139"/>
      <c r="M507" s="139"/>
      <c r="N507" s="139"/>
      <c r="O507" s="139"/>
      <c r="P507" s="139"/>
      <c r="Q507" s="143"/>
      <c r="R507" s="149"/>
    </row>
    <row r="508" spans="8:18" s="217" customFormat="1">
      <c r="H508" s="139"/>
      <c r="I508" s="205"/>
      <c r="J508" s="139"/>
      <c r="K508" s="139"/>
      <c r="L508" s="139"/>
      <c r="M508" s="139"/>
      <c r="N508" s="139"/>
      <c r="O508" s="139"/>
      <c r="P508" s="139"/>
      <c r="Q508" s="143"/>
      <c r="R508" s="149"/>
    </row>
    <row r="509" spans="8:18" s="217" customFormat="1">
      <c r="H509" s="139"/>
      <c r="I509" s="205"/>
      <c r="J509" s="139"/>
      <c r="K509" s="139"/>
      <c r="L509" s="139"/>
      <c r="M509" s="139"/>
      <c r="N509" s="139"/>
      <c r="O509" s="139"/>
      <c r="P509" s="139"/>
      <c r="Q509" s="143"/>
      <c r="R509" s="149"/>
    </row>
    <row r="510" spans="8:18" s="217" customFormat="1">
      <c r="H510" s="139"/>
      <c r="I510" s="205"/>
      <c r="J510" s="139"/>
      <c r="K510" s="139"/>
      <c r="L510" s="139"/>
      <c r="M510" s="139"/>
      <c r="N510" s="139"/>
      <c r="O510" s="139"/>
      <c r="P510" s="139"/>
      <c r="Q510" s="143"/>
      <c r="R510" s="149"/>
    </row>
    <row r="511" spans="8:18" s="217" customFormat="1">
      <c r="H511" s="139"/>
      <c r="I511" s="205"/>
      <c r="J511" s="139"/>
      <c r="K511" s="139"/>
      <c r="L511" s="139"/>
      <c r="M511" s="139"/>
      <c r="N511" s="139"/>
      <c r="O511" s="139"/>
      <c r="P511" s="139"/>
      <c r="Q511" s="143"/>
      <c r="R511" s="149"/>
    </row>
    <row r="512" spans="8:18" s="217" customFormat="1">
      <c r="H512" s="139"/>
      <c r="I512" s="205"/>
      <c r="J512" s="139"/>
      <c r="K512" s="139"/>
      <c r="L512" s="139"/>
      <c r="M512" s="139"/>
      <c r="N512" s="139"/>
      <c r="O512" s="139"/>
      <c r="P512" s="139"/>
      <c r="Q512" s="143"/>
      <c r="R512" s="149"/>
    </row>
    <row r="513" spans="8:18" s="217" customFormat="1">
      <c r="H513" s="139"/>
      <c r="I513" s="205"/>
      <c r="J513" s="139"/>
      <c r="K513" s="139"/>
      <c r="L513" s="139"/>
      <c r="M513" s="139"/>
      <c r="N513" s="139"/>
      <c r="O513" s="139"/>
      <c r="P513" s="139"/>
      <c r="Q513" s="143"/>
      <c r="R513" s="149"/>
    </row>
    <row r="514" spans="8:18" s="217" customFormat="1">
      <c r="H514" s="139"/>
      <c r="I514" s="205"/>
      <c r="J514" s="139"/>
      <c r="K514" s="139"/>
      <c r="L514" s="139"/>
      <c r="M514" s="139"/>
      <c r="N514" s="139"/>
      <c r="O514" s="139"/>
      <c r="P514" s="139"/>
      <c r="Q514" s="143"/>
      <c r="R514" s="149"/>
    </row>
    <row r="515" spans="8:18" s="217" customFormat="1">
      <c r="H515" s="139"/>
      <c r="I515" s="205"/>
      <c r="J515" s="139"/>
      <c r="K515" s="139"/>
      <c r="L515" s="139"/>
      <c r="M515" s="139"/>
      <c r="N515" s="139"/>
      <c r="O515" s="139"/>
      <c r="P515" s="139"/>
      <c r="Q515" s="143"/>
      <c r="R515" s="149"/>
    </row>
    <row r="516" spans="8:18" s="217" customFormat="1">
      <c r="H516" s="139"/>
      <c r="I516" s="205"/>
      <c r="J516" s="139"/>
      <c r="K516" s="139"/>
      <c r="L516" s="139"/>
      <c r="M516" s="139"/>
      <c r="N516" s="139"/>
      <c r="O516" s="139"/>
      <c r="P516" s="139"/>
      <c r="Q516" s="143"/>
      <c r="R516" s="149"/>
    </row>
    <row r="517" spans="8:18" s="217" customFormat="1">
      <c r="H517" s="139"/>
      <c r="I517" s="205"/>
      <c r="J517" s="139"/>
      <c r="K517" s="139"/>
      <c r="L517" s="139"/>
      <c r="M517" s="139"/>
      <c r="N517" s="139"/>
      <c r="O517" s="139"/>
      <c r="P517" s="139"/>
      <c r="Q517" s="143"/>
      <c r="R517" s="149"/>
    </row>
    <row r="518" spans="8:18" s="217" customFormat="1">
      <c r="H518" s="139"/>
      <c r="I518" s="205"/>
      <c r="J518" s="139"/>
      <c r="K518" s="139"/>
      <c r="L518" s="139"/>
      <c r="M518" s="139"/>
      <c r="N518" s="139"/>
      <c r="O518" s="139"/>
      <c r="P518" s="139"/>
      <c r="Q518" s="143"/>
      <c r="R518" s="149"/>
    </row>
    <row r="519" spans="8:18" s="217" customFormat="1">
      <c r="H519" s="139"/>
      <c r="I519" s="205"/>
      <c r="J519" s="139"/>
      <c r="K519" s="139"/>
      <c r="L519" s="139"/>
      <c r="M519" s="139"/>
      <c r="N519" s="139"/>
      <c r="O519" s="139"/>
      <c r="P519" s="139"/>
      <c r="Q519" s="143"/>
      <c r="R519" s="149"/>
    </row>
    <row r="520" spans="8:18" s="217" customFormat="1">
      <c r="H520" s="139"/>
      <c r="I520" s="205"/>
      <c r="J520" s="139"/>
      <c r="K520" s="139"/>
      <c r="L520" s="139"/>
      <c r="M520" s="139"/>
      <c r="N520" s="139"/>
      <c r="O520" s="139"/>
      <c r="P520" s="139"/>
      <c r="Q520" s="143"/>
      <c r="R520" s="149"/>
    </row>
    <row r="521" spans="8:18" s="217" customFormat="1">
      <c r="H521" s="139"/>
      <c r="I521" s="205"/>
      <c r="J521" s="139"/>
      <c r="K521" s="139"/>
      <c r="L521" s="139"/>
      <c r="M521" s="139"/>
      <c r="N521" s="139"/>
      <c r="O521" s="139"/>
      <c r="P521" s="139"/>
      <c r="Q521" s="143"/>
      <c r="R521" s="149"/>
    </row>
    <row r="522" spans="8:18" s="217" customFormat="1">
      <c r="H522" s="139"/>
      <c r="I522" s="205"/>
      <c r="J522" s="139"/>
      <c r="K522" s="139"/>
      <c r="L522" s="139"/>
      <c r="M522" s="139"/>
      <c r="N522" s="139"/>
      <c r="O522" s="139"/>
      <c r="P522" s="139"/>
      <c r="Q522" s="143"/>
      <c r="R522" s="149"/>
    </row>
    <row r="523" spans="8:18" s="217" customFormat="1">
      <c r="H523" s="139"/>
      <c r="I523" s="205"/>
      <c r="J523" s="139"/>
      <c r="K523" s="139"/>
      <c r="L523" s="139"/>
      <c r="M523" s="139"/>
      <c r="N523" s="139"/>
      <c r="O523" s="139"/>
      <c r="P523" s="139"/>
      <c r="Q523" s="143"/>
      <c r="R523" s="149"/>
    </row>
    <row r="524" spans="8:18" s="217" customFormat="1">
      <c r="H524" s="139"/>
      <c r="I524" s="205"/>
      <c r="J524" s="139"/>
      <c r="K524" s="139"/>
      <c r="L524" s="139"/>
      <c r="M524" s="139"/>
      <c r="N524" s="139"/>
      <c r="O524" s="139"/>
      <c r="P524" s="139"/>
      <c r="Q524" s="143"/>
      <c r="R524" s="149"/>
    </row>
    <row r="525" spans="8:18" s="217" customFormat="1">
      <c r="H525" s="139"/>
      <c r="I525" s="205"/>
      <c r="J525" s="139"/>
      <c r="K525" s="139"/>
      <c r="L525" s="139"/>
      <c r="M525" s="139"/>
      <c r="N525" s="139"/>
      <c r="O525" s="139"/>
      <c r="P525" s="139"/>
      <c r="Q525" s="143"/>
      <c r="R525" s="149"/>
    </row>
    <row r="526" spans="8:18" s="217" customFormat="1">
      <c r="H526" s="139"/>
      <c r="I526" s="205"/>
      <c r="J526" s="139"/>
      <c r="K526" s="139"/>
      <c r="L526" s="139"/>
      <c r="M526" s="139"/>
      <c r="N526" s="139"/>
      <c r="O526" s="139"/>
      <c r="P526" s="139"/>
      <c r="Q526" s="143"/>
      <c r="R526" s="149"/>
    </row>
    <row r="527" spans="8:18" s="217" customFormat="1">
      <c r="H527" s="139"/>
      <c r="I527" s="205"/>
      <c r="J527" s="139"/>
      <c r="K527" s="139"/>
      <c r="L527" s="139"/>
      <c r="M527" s="139"/>
      <c r="N527" s="139"/>
      <c r="O527" s="139"/>
      <c r="P527" s="139"/>
      <c r="Q527" s="143"/>
      <c r="R527" s="149"/>
    </row>
    <row r="528" spans="8:18" s="217" customFormat="1">
      <c r="H528" s="139"/>
      <c r="I528" s="205"/>
      <c r="J528" s="139"/>
      <c r="K528" s="139"/>
      <c r="L528" s="139"/>
      <c r="M528" s="139"/>
      <c r="N528" s="139"/>
      <c r="O528" s="139"/>
      <c r="P528" s="139"/>
      <c r="Q528" s="143"/>
      <c r="R528" s="149"/>
    </row>
    <row r="529" spans="8:18" s="217" customFormat="1">
      <c r="H529" s="139"/>
      <c r="I529" s="205"/>
      <c r="J529" s="139"/>
      <c r="K529" s="139"/>
      <c r="L529" s="139"/>
      <c r="M529" s="139"/>
      <c r="N529" s="139"/>
      <c r="O529" s="139"/>
      <c r="P529" s="139"/>
      <c r="Q529" s="143"/>
      <c r="R529" s="149"/>
    </row>
    <row r="530" spans="8:18" s="217" customFormat="1">
      <c r="H530" s="139"/>
      <c r="I530" s="205"/>
      <c r="J530" s="139"/>
      <c r="K530" s="139"/>
      <c r="L530" s="139"/>
      <c r="M530" s="139"/>
      <c r="N530" s="139"/>
      <c r="O530" s="139"/>
      <c r="P530" s="139"/>
      <c r="Q530" s="143"/>
      <c r="R530" s="149"/>
    </row>
    <row r="531" spans="8:18" s="217" customFormat="1">
      <c r="H531" s="139"/>
      <c r="I531" s="205"/>
      <c r="J531" s="139"/>
      <c r="K531" s="139"/>
      <c r="L531" s="139"/>
      <c r="M531" s="139"/>
      <c r="N531" s="139"/>
      <c r="O531" s="139"/>
      <c r="P531" s="139"/>
      <c r="Q531" s="143"/>
      <c r="R531" s="149"/>
    </row>
    <row r="532" spans="8:18" s="217" customFormat="1">
      <c r="H532" s="139"/>
      <c r="I532" s="205"/>
      <c r="J532" s="139"/>
      <c r="K532" s="139"/>
      <c r="L532" s="139"/>
      <c r="M532" s="139"/>
      <c r="N532" s="139"/>
      <c r="O532" s="139"/>
      <c r="P532" s="139"/>
      <c r="Q532" s="143"/>
      <c r="R532" s="149"/>
    </row>
  </sheetData>
  <mergeCells count="41">
    <mergeCell ref="D378:G378"/>
    <mergeCell ref="D408:G408"/>
    <mergeCell ref="D438:G438"/>
    <mergeCell ref="D285:G285"/>
    <mergeCell ref="A307:H307"/>
    <mergeCell ref="D316:G316"/>
    <mergeCell ref="A338:H338"/>
    <mergeCell ref="D347:G347"/>
    <mergeCell ref="A369:H369"/>
    <mergeCell ref="A276:H276"/>
    <mergeCell ref="A153:H153"/>
    <mergeCell ref="I153:P153"/>
    <mergeCell ref="D162:G162"/>
    <mergeCell ref="L162:O162"/>
    <mergeCell ref="D192:G192"/>
    <mergeCell ref="L192:O192"/>
    <mergeCell ref="A214:H214"/>
    <mergeCell ref="I214:P214"/>
    <mergeCell ref="D223:G223"/>
    <mergeCell ref="A245:H245"/>
    <mergeCell ref="D254:G254"/>
    <mergeCell ref="D131:G131"/>
    <mergeCell ref="L131:O131"/>
    <mergeCell ref="D39:G39"/>
    <mergeCell ref="L39:O39"/>
    <mergeCell ref="A61:H61"/>
    <mergeCell ref="I61:P61"/>
    <mergeCell ref="D70:G70"/>
    <mergeCell ref="L70:O70"/>
    <mergeCell ref="B99:H99"/>
    <mergeCell ref="D100:G100"/>
    <mergeCell ref="L100:O100"/>
    <mergeCell ref="A122:H122"/>
    <mergeCell ref="I122:P122"/>
    <mergeCell ref="A30:H30"/>
    <mergeCell ref="I30:P30"/>
    <mergeCell ref="Q2:X2"/>
    <mergeCell ref="D7:G7"/>
    <mergeCell ref="L7:O7"/>
    <mergeCell ref="A28:H28"/>
    <mergeCell ref="I28:P28"/>
  </mergeCells>
  <conditionalFormatting sqref="Q1:R7 Q9:R1048576">
    <cfRule type="cellIs" dxfId="11"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2067-10E3-4BAA-A5BD-3515843DC131}">
  <sheetPr>
    <tabColor rgb="FF006600"/>
  </sheetPr>
  <dimension ref="A2:W617"/>
  <sheetViews>
    <sheetView workbookViewId="0">
      <pane xSplit="2" ySplit="5" topLeftCell="C133" activePane="bottomRight" state="frozen"/>
      <selection pane="topRight" activeCell="C1" sqref="C1"/>
      <selection pane="bottomLeft" activeCell="A6" sqref="A6"/>
      <selection pane="bottomRight" activeCell="H148" sqref="H148"/>
    </sheetView>
  </sheetViews>
  <sheetFormatPr defaultColWidth="8.84375" defaultRowHeight="14.5"/>
  <cols>
    <col min="1" max="1" width="4.69140625" style="59" customWidth="1"/>
    <col min="2" max="2" width="16.84375" style="59" customWidth="1"/>
    <col min="3" max="9" width="10" style="59" customWidth="1"/>
    <col min="10" max="10" width="12.4609375" style="59" customWidth="1"/>
    <col min="11" max="14" width="8.69140625" style="59" customWidth="1"/>
    <col min="15" max="15" width="11.07421875" style="59" customWidth="1"/>
    <col min="16" max="17" width="8.765625" style="59" customWidth="1"/>
    <col min="18" max="18" width="11.3046875" style="59" customWidth="1"/>
    <col min="19" max="21" width="8.84375" style="59" customWidth="1"/>
    <col min="22" max="22" width="7.07421875" style="59" customWidth="1"/>
    <col min="23" max="16384" width="8.84375" style="59"/>
  </cols>
  <sheetData>
    <row r="2" spans="1:22">
      <c r="D2" s="59" t="s">
        <v>533</v>
      </c>
    </row>
    <row r="3" spans="1:22">
      <c r="A3" s="55"/>
      <c r="B3" s="56"/>
      <c r="C3" s="55" t="s">
        <v>516</v>
      </c>
      <c r="D3" s="57" t="s">
        <v>21</v>
      </c>
      <c r="E3" s="57"/>
      <c r="F3" s="58"/>
      <c r="G3" s="58"/>
      <c r="H3" s="58"/>
      <c r="I3" s="58"/>
      <c r="J3" s="58"/>
      <c r="K3" s="58"/>
      <c r="L3" s="58"/>
      <c r="M3" s="58"/>
      <c r="N3" s="58"/>
      <c r="O3" s="58"/>
      <c r="P3" s="58"/>
      <c r="Q3" s="58"/>
      <c r="R3" s="58"/>
      <c r="S3" s="294"/>
      <c r="T3" s="294"/>
      <c r="U3" s="58"/>
      <c r="V3" s="295"/>
    </row>
    <row r="4" spans="1:22">
      <c r="A4" s="296"/>
      <c r="B4" s="297"/>
      <c r="C4" s="296" t="s">
        <v>534</v>
      </c>
      <c r="D4" s="298"/>
      <c r="E4" s="297"/>
      <c r="F4" s="297"/>
      <c r="G4" s="297"/>
      <c r="H4" s="297"/>
      <c r="I4" s="297"/>
      <c r="J4" s="55" t="s">
        <v>535</v>
      </c>
      <c r="K4" s="299" t="s">
        <v>520</v>
      </c>
      <c r="L4" s="298"/>
      <c r="M4" s="297"/>
      <c r="N4" s="297"/>
      <c r="O4" s="55" t="s">
        <v>521</v>
      </c>
      <c r="P4" s="55" t="s">
        <v>536</v>
      </c>
      <c r="Q4" s="56"/>
      <c r="R4" s="55" t="s">
        <v>537</v>
      </c>
      <c r="S4" s="300" t="s">
        <v>611</v>
      </c>
      <c r="T4" s="300" t="s">
        <v>612</v>
      </c>
      <c r="U4" s="301" t="s">
        <v>538</v>
      </c>
      <c r="V4" s="295"/>
    </row>
    <row r="5" spans="1:22">
      <c r="A5" s="55" t="s">
        <v>14</v>
      </c>
      <c r="B5" s="55" t="s">
        <v>524</v>
      </c>
      <c r="C5" s="55">
        <v>1</v>
      </c>
      <c r="D5" s="60">
        <v>2</v>
      </c>
      <c r="E5" s="60">
        <v>3</v>
      </c>
      <c r="F5" s="60">
        <v>4</v>
      </c>
      <c r="G5" s="60">
        <v>5</v>
      </c>
      <c r="H5" s="60">
        <v>6</v>
      </c>
      <c r="I5" s="60">
        <v>15</v>
      </c>
      <c r="J5" s="61"/>
      <c r="K5" s="302">
        <v>7</v>
      </c>
      <c r="L5" s="60">
        <v>8</v>
      </c>
      <c r="M5" s="60">
        <v>9</v>
      </c>
      <c r="N5" s="60">
        <v>10</v>
      </c>
      <c r="O5" s="61"/>
      <c r="P5" s="303">
        <v>12</v>
      </c>
      <c r="Q5" s="59">
        <v>13</v>
      </c>
      <c r="R5" s="61"/>
      <c r="S5" s="304" t="s">
        <v>611</v>
      </c>
      <c r="T5" s="304"/>
      <c r="U5" s="305"/>
      <c r="V5" s="295"/>
    </row>
    <row r="6" spans="1:22">
      <c r="A6" s="306" t="s">
        <v>50</v>
      </c>
      <c r="B6" s="55" t="s">
        <v>539</v>
      </c>
      <c r="C6" s="307">
        <v>0.83966533582711622</v>
      </c>
      <c r="D6" s="308">
        <v>0.85296901893287436</v>
      </c>
      <c r="E6" s="308">
        <v>0.72327911284143565</v>
      </c>
      <c r="F6" s="308">
        <v>0.76826908850876896</v>
      </c>
      <c r="G6" s="308">
        <v>0.90002421893921047</v>
      </c>
      <c r="H6" s="308">
        <v>0.15288721077184717</v>
      </c>
      <c r="I6" s="308">
        <v>0.9650692391473471</v>
      </c>
      <c r="J6" s="309">
        <v>0.79801022109890785</v>
      </c>
      <c r="K6" s="309">
        <v>0</v>
      </c>
      <c r="L6" s="308">
        <v>0.52044125720948398</v>
      </c>
      <c r="M6" s="308">
        <v>0.63795654749484965</v>
      </c>
      <c r="N6" s="308">
        <v>0.60588062014511035</v>
      </c>
      <c r="O6" s="309">
        <v>0.59482230456126617</v>
      </c>
      <c r="P6" s="309">
        <v>0.81620317116629448</v>
      </c>
      <c r="Q6" s="308">
        <v>0.81336584284606006</v>
      </c>
      <c r="R6" s="309">
        <v>0.81477216831373256</v>
      </c>
      <c r="S6" s="309">
        <v>0</v>
      </c>
      <c r="T6" s="309">
        <v>0</v>
      </c>
      <c r="U6" s="309">
        <v>0.73579557651203109</v>
      </c>
      <c r="V6" s="295"/>
    </row>
    <row r="7" spans="1:22">
      <c r="A7" s="310"/>
      <c r="B7" s="311" t="s">
        <v>540</v>
      </c>
      <c r="C7" s="312">
        <v>0.71648338006551737</v>
      </c>
      <c r="D7" s="313">
        <v>0.66164897561623515</v>
      </c>
      <c r="E7" s="313">
        <v>0.51180811651972635</v>
      </c>
      <c r="F7" s="313">
        <v>0.50551167483424619</v>
      </c>
      <c r="G7" s="313">
        <v>0.69008994539029878</v>
      </c>
      <c r="H7" s="313">
        <v>0.11360666574428507</v>
      </c>
      <c r="I7" s="313">
        <v>0.93610324205225059</v>
      </c>
      <c r="J7" s="314">
        <v>0.63645136875698449</v>
      </c>
      <c r="K7" s="314">
        <v>0</v>
      </c>
      <c r="L7" s="313">
        <v>0.39900715882219556</v>
      </c>
      <c r="M7" s="313">
        <v>0.49782127285345706</v>
      </c>
      <c r="N7" s="313">
        <v>0.40982549983973421</v>
      </c>
      <c r="O7" s="314">
        <v>0.44952105344202842</v>
      </c>
      <c r="P7" s="314">
        <v>0.42763157894736842</v>
      </c>
      <c r="Q7" s="313">
        <v>0.64651137769648714</v>
      </c>
      <c r="R7" s="314">
        <v>0.53207382498652356</v>
      </c>
      <c r="S7" s="314">
        <v>0</v>
      </c>
      <c r="T7" s="314">
        <v>0</v>
      </c>
      <c r="U7" s="314">
        <v>0.58038860234709289</v>
      </c>
      <c r="V7" s="315"/>
    </row>
    <row r="8" spans="1:22">
      <c r="A8" s="310"/>
      <c r="B8" s="316" t="s">
        <v>541</v>
      </c>
      <c r="C8" s="317">
        <v>-12.318195576159885</v>
      </c>
      <c r="D8" s="318">
        <v>-19.132004331663921</v>
      </c>
      <c r="E8" s="318">
        <v>-21.147099632170928</v>
      </c>
      <c r="F8" s="318">
        <v>-26.275741367452277</v>
      </c>
      <c r="G8" s="318">
        <v>-20.993427354891171</v>
      </c>
      <c r="H8" s="318">
        <v>-3.928054502756209</v>
      </c>
      <c r="I8" s="318">
        <v>-2.8965997095096507</v>
      </c>
      <c r="J8" s="319">
        <v>-16.155885234192336</v>
      </c>
      <c r="K8" s="319">
        <v>0</v>
      </c>
      <c r="L8" s="318">
        <v>-12.143409838728841</v>
      </c>
      <c r="M8" s="318">
        <v>-14.013527464139258</v>
      </c>
      <c r="N8" s="318">
        <v>-19.605512030537614</v>
      </c>
      <c r="O8" s="319">
        <v>-14.530125111923775</v>
      </c>
      <c r="P8" s="319">
        <v>-38.857159221892609</v>
      </c>
      <c r="Q8" s="318">
        <v>-16.685446514957292</v>
      </c>
      <c r="R8" s="319">
        <v>-28.269834332720901</v>
      </c>
      <c r="S8" s="319">
        <v>0</v>
      </c>
      <c r="T8" s="319">
        <v>0</v>
      </c>
      <c r="U8" s="319">
        <v>-15.540697416493821</v>
      </c>
      <c r="V8" s="315"/>
    </row>
    <row r="9" spans="1:22">
      <c r="A9" s="310"/>
      <c r="B9" s="55" t="s">
        <v>542</v>
      </c>
      <c r="C9" s="307">
        <v>1.1806281515383536E-2</v>
      </c>
      <c r="D9" s="308">
        <v>9.3373493975903619E-4</v>
      </c>
      <c r="E9" s="308">
        <v>3.6861206557968137E-3</v>
      </c>
      <c r="F9" s="308">
        <v>1.3827716890300113E-3</v>
      </c>
      <c r="G9" s="308">
        <v>0</v>
      </c>
      <c r="H9" s="308">
        <v>2.6789196948184667E-2</v>
      </c>
      <c r="I9" s="308">
        <v>0</v>
      </c>
      <c r="J9" s="309">
        <v>7.9050546702052332E-3</v>
      </c>
      <c r="K9" s="309">
        <v>0</v>
      </c>
      <c r="L9" s="308">
        <v>0.12231737388945176</v>
      </c>
      <c r="M9" s="308">
        <v>0.1059847323850432</v>
      </c>
      <c r="N9" s="308">
        <v>2.3469969325742683E-2</v>
      </c>
      <c r="O9" s="309">
        <v>9.5775315030362101E-2</v>
      </c>
      <c r="P9" s="309">
        <v>3.6154904481584232E-2</v>
      </c>
      <c r="Q9" s="308">
        <v>6.7006538845173449E-2</v>
      </c>
      <c r="R9" s="309">
        <v>5.1714886195948669E-2</v>
      </c>
      <c r="S9" s="309">
        <v>0</v>
      </c>
      <c r="T9" s="309">
        <v>0</v>
      </c>
      <c r="U9" s="309">
        <v>3.5648249227128039E-2</v>
      </c>
      <c r="V9" s="315"/>
    </row>
    <row r="10" spans="1:22">
      <c r="A10" s="310"/>
      <c r="B10" s="311" t="s">
        <v>543</v>
      </c>
      <c r="C10" s="312">
        <v>8.064507855213331E-3</v>
      </c>
      <c r="D10" s="313">
        <v>5.4456705812035817E-4</v>
      </c>
      <c r="E10" s="313">
        <v>2.9620790409634373E-3</v>
      </c>
      <c r="F10" s="313">
        <v>1.210723551455751E-3</v>
      </c>
      <c r="G10" s="313">
        <v>9.6370061034371988E-5</v>
      </c>
      <c r="H10" s="313">
        <v>1.6157050838598596E-2</v>
      </c>
      <c r="I10" s="313">
        <v>0</v>
      </c>
      <c r="J10" s="314">
        <v>5.4739350089756797E-3</v>
      </c>
      <c r="K10" s="314">
        <v>0</v>
      </c>
      <c r="L10" s="313">
        <v>4.1620776780797515E-2</v>
      </c>
      <c r="M10" s="313">
        <v>6.3985706490355329E-2</v>
      </c>
      <c r="N10" s="313">
        <v>2.6507618657007063E-2</v>
      </c>
      <c r="O10" s="314">
        <v>4.9743130269695346E-2</v>
      </c>
      <c r="P10" s="314">
        <v>2.8181461115475256E-2</v>
      </c>
      <c r="Q10" s="313">
        <v>0.19898864920114046</v>
      </c>
      <c r="R10" s="314">
        <v>0.10968503734887183</v>
      </c>
      <c r="S10" s="314">
        <v>0</v>
      </c>
      <c r="T10" s="314">
        <v>0</v>
      </c>
      <c r="U10" s="314">
        <v>1.9924535395802582E-2</v>
      </c>
      <c r="V10" s="315"/>
    </row>
    <row r="11" spans="1:22">
      <c r="A11" s="310"/>
      <c r="B11" s="316" t="s">
        <v>544</v>
      </c>
      <c r="C11" s="317">
        <v>-0.37417736601702051</v>
      </c>
      <c r="D11" s="318">
        <v>-3.8916788163867802E-2</v>
      </c>
      <c r="E11" s="318">
        <v>-7.2404161483337642E-2</v>
      </c>
      <c r="F11" s="318">
        <v>-1.7204813757426031E-2</v>
      </c>
      <c r="G11" s="318">
        <v>0</v>
      </c>
      <c r="H11" s="318">
        <v>-1.0632146109586071</v>
      </c>
      <c r="I11" s="318">
        <v>0</v>
      </c>
      <c r="J11" s="320">
        <v>-0.24311196612295535</v>
      </c>
      <c r="K11" s="320">
        <v>0</v>
      </c>
      <c r="L11" s="318">
        <v>-8.0696597108654231</v>
      </c>
      <c r="M11" s="318">
        <v>-4.1999025894687874</v>
      </c>
      <c r="N11" s="318">
        <v>0.30376493312643804</v>
      </c>
      <c r="O11" s="320">
        <v>-4.6032184760666759</v>
      </c>
      <c r="P11" s="320">
        <v>-0.79734433661089765</v>
      </c>
      <c r="Q11" s="318">
        <v>13.198211035596701</v>
      </c>
      <c r="R11" s="320">
        <v>5.7970151152923162</v>
      </c>
      <c r="S11" s="320">
        <v>0</v>
      </c>
      <c r="T11" s="320">
        <v>0</v>
      </c>
      <c r="U11" s="320">
        <v>-1.5723713831325457</v>
      </c>
      <c r="V11" s="315"/>
    </row>
    <row r="12" spans="1:22">
      <c r="A12" s="310"/>
      <c r="B12" s="55" t="s">
        <v>545</v>
      </c>
      <c r="C12" s="307">
        <v>0.14778095722142187</v>
      </c>
      <c r="D12" s="308">
        <v>0.1460972461273666</v>
      </c>
      <c r="E12" s="308">
        <v>0.26358499110394751</v>
      </c>
      <c r="F12" s="308">
        <v>0.23034813980220106</v>
      </c>
      <c r="G12" s="308">
        <v>9.997578106078954E-2</v>
      </c>
      <c r="H12" s="308">
        <v>0.82032359227996821</v>
      </c>
      <c r="I12" s="308">
        <v>3.493076085265287E-2</v>
      </c>
      <c r="J12" s="309">
        <v>0.1912945612583388</v>
      </c>
      <c r="K12" s="309">
        <v>0</v>
      </c>
      <c r="L12" s="308">
        <v>0.35352649184670332</v>
      </c>
      <c r="M12" s="308">
        <v>0.24220250814824407</v>
      </c>
      <c r="N12" s="308">
        <v>0.37064941052914696</v>
      </c>
      <c r="O12" s="309">
        <v>0.30133445328220387</v>
      </c>
      <c r="P12" s="309">
        <v>0.14764192435212126</v>
      </c>
      <c r="Q12" s="308">
        <v>0.11962761830876649</v>
      </c>
      <c r="R12" s="309">
        <v>0.13351294549031884</v>
      </c>
      <c r="S12" s="309">
        <v>0</v>
      </c>
      <c r="T12" s="309">
        <v>0</v>
      </c>
      <c r="U12" s="309">
        <v>0.22418864497426819</v>
      </c>
      <c r="V12" s="315"/>
    </row>
    <row r="13" spans="1:22">
      <c r="A13" s="310"/>
      <c r="B13" s="311" t="s">
        <v>546</v>
      </c>
      <c r="C13" s="312">
        <v>0.2195735521487058</v>
      </c>
      <c r="D13" s="313">
        <v>0.33780645732564446</v>
      </c>
      <c r="E13" s="313">
        <v>0.47588021352358345</v>
      </c>
      <c r="F13" s="313">
        <v>0.49327760161429807</v>
      </c>
      <c r="G13" s="313">
        <v>0.30981368454866687</v>
      </c>
      <c r="H13" s="313">
        <v>0.87023628341711634</v>
      </c>
      <c r="I13" s="313">
        <v>6.3896757947749447E-2</v>
      </c>
      <c r="J13" s="314">
        <v>0.32589667995486205</v>
      </c>
      <c r="K13" s="314">
        <v>0</v>
      </c>
      <c r="L13" s="313">
        <v>0.55799131871335561</v>
      </c>
      <c r="M13" s="313">
        <v>0.42880131597768562</v>
      </c>
      <c r="N13" s="313">
        <v>0.56319125396787106</v>
      </c>
      <c r="O13" s="314">
        <v>0.49559582277255576</v>
      </c>
      <c r="P13" s="314">
        <v>0.54418695993715638</v>
      </c>
      <c r="Q13" s="313">
        <v>0.15449997310237237</v>
      </c>
      <c r="R13" s="314">
        <v>0.35824113766460458</v>
      </c>
      <c r="S13" s="314">
        <v>0</v>
      </c>
      <c r="T13" s="314">
        <v>0</v>
      </c>
      <c r="U13" s="314">
        <v>0.37587008763270785</v>
      </c>
      <c r="V13" s="315"/>
    </row>
    <row r="14" spans="1:22" s="321" customFormat="1">
      <c r="A14" s="310"/>
      <c r="B14" s="316" t="s">
        <v>547</v>
      </c>
      <c r="C14" s="317">
        <v>7.1792594927283933</v>
      </c>
      <c r="D14" s="318">
        <v>19.170921119827785</v>
      </c>
      <c r="E14" s="318">
        <v>21.229522241963593</v>
      </c>
      <c r="F14" s="318">
        <v>26.292946181209697</v>
      </c>
      <c r="G14" s="318">
        <v>20.983790348787736</v>
      </c>
      <c r="H14" s="318">
        <v>4.9912691137148135</v>
      </c>
      <c r="I14" s="318">
        <v>2.8965997095096578</v>
      </c>
      <c r="J14" s="320">
        <v>13.460211869652325</v>
      </c>
      <c r="K14" s="320">
        <v>0</v>
      </c>
      <c r="L14" s="318">
        <v>20.446482686665231</v>
      </c>
      <c r="M14" s="318">
        <v>18.659880782944153</v>
      </c>
      <c r="N14" s="318">
        <v>19.25418434387241</v>
      </c>
      <c r="O14" s="320">
        <v>19.42613694903519</v>
      </c>
      <c r="P14" s="320">
        <v>39.654503558503514</v>
      </c>
      <c r="Q14" s="318">
        <v>3.4872354793605882</v>
      </c>
      <c r="R14" s="320">
        <v>22.472819217428576</v>
      </c>
      <c r="S14" s="320">
        <v>0</v>
      </c>
      <c r="T14" s="320">
        <v>0</v>
      </c>
      <c r="U14" s="320">
        <v>15.168144265843967</v>
      </c>
      <c r="V14" s="315"/>
    </row>
    <row r="15" spans="1:22">
      <c r="A15" s="310"/>
      <c r="B15" s="55" t="s">
        <v>548</v>
      </c>
      <c r="C15" s="307">
        <v>7.4742543607840312E-4</v>
      </c>
      <c r="D15" s="308">
        <v>0</v>
      </c>
      <c r="E15" s="308">
        <v>9.4497753988200123E-3</v>
      </c>
      <c r="F15" s="308">
        <v>0</v>
      </c>
      <c r="G15" s="308">
        <v>0</v>
      </c>
      <c r="H15" s="308">
        <v>0</v>
      </c>
      <c r="I15" s="308">
        <v>0</v>
      </c>
      <c r="J15" s="309">
        <v>2.7901629725480639E-3</v>
      </c>
      <c r="K15" s="309">
        <v>0</v>
      </c>
      <c r="L15" s="308">
        <v>2.5338140599323435E-3</v>
      </c>
      <c r="M15" s="308">
        <v>3.8912512201380945E-3</v>
      </c>
      <c r="N15" s="308">
        <v>0</v>
      </c>
      <c r="O15" s="309">
        <v>2.7370341359699859E-3</v>
      </c>
      <c r="P15" s="309">
        <v>0</v>
      </c>
      <c r="Q15" s="308">
        <v>0</v>
      </c>
      <c r="R15" s="309">
        <v>0</v>
      </c>
      <c r="S15" s="309">
        <v>0</v>
      </c>
      <c r="T15" s="309">
        <v>0</v>
      </c>
      <c r="U15" s="309">
        <v>2.7280316304158373E-3</v>
      </c>
      <c r="V15" s="315"/>
    </row>
    <row r="16" spans="1:22">
      <c r="A16" s="310"/>
      <c r="B16" s="311" t="s">
        <v>549</v>
      </c>
      <c r="C16" s="312">
        <v>5.5878559930563461E-2</v>
      </c>
      <c r="D16" s="313">
        <v>0</v>
      </c>
      <c r="E16" s="313">
        <v>0</v>
      </c>
      <c r="F16" s="313">
        <v>0</v>
      </c>
      <c r="G16" s="313">
        <v>0</v>
      </c>
      <c r="H16" s="313">
        <v>0</v>
      </c>
      <c r="I16" s="313">
        <v>0</v>
      </c>
      <c r="J16" s="314">
        <v>2.9763189604059138E-2</v>
      </c>
      <c r="K16" s="314">
        <v>0</v>
      </c>
      <c r="L16" s="313">
        <v>0</v>
      </c>
      <c r="M16" s="313">
        <v>2.8515498762959786E-3</v>
      </c>
      <c r="N16" s="313">
        <v>0</v>
      </c>
      <c r="O16" s="314">
        <v>1.398863106983465E-3</v>
      </c>
      <c r="P16" s="314">
        <v>0</v>
      </c>
      <c r="Q16" s="313">
        <v>0</v>
      </c>
      <c r="R16" s="314">
        <v>0</v>
      </c>
      <c r="S16" s="314">
        <v>0</v>
      </c>
      <c r="T16" s="314">
        <v>0</v>
      </c>
      <c r="U16" s="314">
        <v>2.1050762463115259E-2</v>
      </c>
      <c r="V16" s="315"/>
    </row>
    <row r="17" spans="1:22">
      <c r="A17" s="310"/>
      <c r="B17" s="316" t="s">
        <v>550</v>
      </c>
      <c r="C17" s="317">
        <v>5.5131134494485057</v>
      </c>
      <c r="D17" s="318">
        <v>0</v>
      </c>
      <c r="E17" s="318">
        <v>-0.94497753988200128</v>
      </c>
      <c r="F17" s="318">
        <v>0</v>
      </c>
      <c r="G17" s="318">
        <v>0</v>
      </c>
      <c r="H17" s="318">
        <v>0</v>
      </c>
      <c r="I17" s="318">
        <v>0</v>
      </c>
      <c r="J17" s="320">
        <v>2.6973026631511074</v>
      </c>
      <c r="K17" s="320">
        <v>0</v>
      </c>
      <c r="L17" s="318">
        <v>-0.25338140599323433</v>
      </c>
      <c r="M17" s="318">
        <v>-0.10397013438421158</v>
      </c>
      <c r="N17" s="318">
        <v>0</v>
      </c>
      <c r="O17" s="320">
        <v>-0.13381710289865209</v>
      </c>
      <c r="P17" s="320">
        <v>0</v>
      </c>
      <c r="Q17" s="318">
        <v>0</v>
      </c>
      <c r="R17" s="320">
        <v>0</v>
      </c>
      <c r="S17" s="320">
        <v>0</v>
      </c>
      <c r="T17" s="320">
        <v>0</v>
      </c>
      <c r="U17" s="320">
        <v>1.8322730832699423</v>
      </c>
      <c r="V17" s="315"/>
    </row>
    <row r="18" spans="1:22">
      <c r="A18" s="310"/>
      <c r="B18" s="55" t="s">
        <v>551</v>
      </c>
      <c r="C18" s="307">
        <v>0</v>
      </c>
      <c r="D18" s="308">
        <v>0</v>
      </c>
      <c r="E18" s="308">
        <v>0</v>
      </c>
      <c r="F18" s="308">
        <v>0</v>
      </c>
      <c r="G18" s="308">
        <v>0</v>
      </c>
      <c r="H18" s="308">
        <v>0</v>
      </c>
      <c r="I18" s="308">
        <v>0</v>
      </c>
      <c r="J18" s="309">
        <v>0</v>
      </c>
      <c r="K18" s="309">
        <v>0</v>
      </c>
      <c r="L18" s="308">
        <v>1.1810629944286279E-3</v>
      </c>
      <c r="M18" s="308">
        <v>9.964960751724981E-3</v>
      </c>
      <c r="N18" s="308">
        <v>0</v>
      </c>
      <c r="O18" s="309">
        <v>5.3308929901978623E-3</v>
      </c>
      <c r="P18" s="309">
        <v>0</v>
      </c>
      <c r="Q18" s="308">
        <v>0</v>
      </c>
      <c r="R18" s="309">
        <v>0</v>
      </c>
      <c r="S18" s="309">
        <v>0</v>
      </c>
      <c r="T18" s="309">
        <v>0</v>
      </c>
      <c r="U18" s="309">
        <v>1.6394976561568311E-3</v>
      </c>
      <c r="V18" s="315"/>
    </row>
    <row r="19" spans="1:22">
      <c r="A19" s="310"/>
      <c r="B19" s="311" t="s">
        <v>552</v>
      </c>
      <c r="C19" s="312">
        <v>0</v>
      </c>
      <c r="D19" s="313">
        <v>0</v>
      </c>
      <c r="E19" s="313">
        <v>9.3495909157267354E-3</v>
      </c>
      <c r="F19" s="313">
        <v>0</v>
      </c>
      <c r="G19" s="313">
        <v>0</v>
      </c>
      <c r="H19" s="313">
        <v>0</v>
      </c>
      <c r="I19" s="313">
        <v>0</v>
      </c>
      <c r="J19" s="314">
        <v>2.4148266751186512E-3</v>
      </c>
      <c r="K19" s="314">
        <v>0</v>
      </c>
      <c r="L19" s="313">
        <v>1.3807456836513233E-3</v>
      </c>
      <c r="M19" s="313">
        <v>5.8792521601847879E-3</v>
      </c>
      <c r="N19" s="313">
        <v>2.1024115694674695E-4</v>
      </c>
      <c r="O19" s="314">
        <v>3.3668874223819396E-3</v>
      </c>
      <c r="P19" s="314">
        <v>0</v>
      </c>
      <c r="Q19" s="313">
        <v>0</v>
      </c>
      <c r="R19" s="314">
        <v>0</v>
      </c>
      <c r="S19" s="314">
        <v>0</v>
      </c>
      <c r="T19" s="314">
        <v>0</v>
      </c>
      <c r="U19" s="314">
        <v>2.65685739251619E-3</v>
      </c>
      <c r="V19" s="315"/>
    </row>
    <row r="20" spans="1:22">
      <c r="A20" s="310"/>
      <c r="B20" s="316" t="s">
        <v>553</v>
      </c>
      <c r="C20" s="317">
        <v>0</v>
      </c>
      <c r="D20" s="318">
        <v>0</v>
      </c>
      <c r="E20" s="318">
        <v>0</v>
      </c>
      <c r="F20" s="318">
        <v>0</v>
      </c>
      <c r="G20" s="318">
        <v>0</v>
      </c>
      <c r="H20" s="318">
        <v>0</v>
      </c>
      <c r="I20" s="318">
        <v>0</v>
      </c>
      <c r="J20" s="320">
        <v>0</v>
      </c>
      <c r="K20" s="320">
        <v>0</v>
      </c>
      <c r="L20" s="318">
        <v>1.996826892226955E-2</v>
      </c>
      <c r="M20" s="318">
        <v>-0.40857085915401931</v>
      </c>
      <c r="N20" s="318">
        <v>0</v>
      </c>
      <c r="O20" s="320">
        <v>-0.19640055678159227</v>
      </c>
      <c r="P20" s="320">
        <v>0</v>
      </c>
      <c r="Q20" s="318">
        <v>0</v>
      </c>
      <c r="R20" s="320">
        <v>0</v>
      </c>
      <c r="S20" s="320">
        <v>0</v>
      </c>
      <c r="T20" s="320">
        <v>0</v>
      </c>
      <c r="U20" s="320">
        <v>0.10173597363593589</v>
      </c>
      <c r="V20" s="315"/>
    </row>
    <row r="21" spans="1:22">
      <c r="A21" s="310"/>
      <c r="B21" s="55" t="s">
        <v>554</v>
      </c>
      <c r="C21" s="307">
        <v>0</v>
      </c>
      <c r="D21" s="308">
        <v>0</v>
      </c>
      <c r="E21" s="308">
        <v>0</v>
      </c>
      <c r="F21" s="308">
        <v>0</v>
      </c>
      <c r="G21" s="308">
        <v>0</v>
      </c>
      <c r="H21" s="308">
        <v>0</v>
      </c>
      <c r="I21" s="308">
        <v>0</v>
      </c>
      <c r="J21" s="309">
        <v>0</v>
      </c>
      <c r="K21" s="309">
        <v>0</v>
      </c>
      <c r="L21" s="308">
        <v>0</v>
      </c>
      <c r="M21" s="308">
        <v>0</v>
      </c>
      <c r="N21" s="308">
        <v>0</v>
      </c>
      <c r="O21" s="309">
        <v>0</v>
      </c>
      <c r="P21" s="309">
        <v>0</v>
      </c>
      <c r="Q21" s="308">
        <v>0</v>
      </c>
      <c r="R21" s="309">
        <v>0</v>
      </c>
      <c r="S21" s="309">
        <v>0</v>
      </c>
      <c r="T21" s="309">
        <v>0</v>
      </c>
      <c r="U21" s="309">
        <v>0</v>
      </c>
      <c r="V21" s="315"/>
    </row>
    <row r="22" spans="1:22">
      <c r="A22" s="310"/>
      <c r="B22" s="311" t="s">
        <v>555</v>
      </c>
      <c r="C22" s="312">
        <v>0</v>
      </c>
      <c r="D22" s="313">
        <v>0</v>
      </c>
      <c r="E22" s="313">
        <v>0</v>
      </c>
      <c r="F22" s="313">
        <v>0</v>
      </c>
      <c r="G22" s="313">
        <v>0</v>
      </c>
      <c r="H22" s="313">
        <v>0</v>
      </c>
      <c r="I22" s="313">
        <v>0</v>
      </c>
      <c r="J22" s="314">
        <v>0</v>
      </c>
      <c r="K22" s="314">
        <v>0</v>
      </c>
      <c r="L22" s="313">
        <v>0</v>
      </c>
      <c r="M22" s="313">
        <v>6.6090264202122307E-4</v>
      </c>
      <c r="N22" s="313">
        <v>2.6538637844097566E-4</v>
      </c>
      <c r="O22" s="314">
        <v>3.7424298635507471E-4</v>
      </c>
      <c r="P22" s="314">
        <v>0</v>
      </c>
      <c r="Q22" s="313">
        <v>0</v>
      </c>
      <c r="R22" s="314">
        <v>0</v>
      </c>
      <c r="S22" s="314">
        <v>0</v>
      </c>
      <c r="T22" s="314">
        <v>0</v>
      </c>
      <c r="U22" s="314">
        <v>1.0915476876528711E-4</v>
      </c>
      <c r="V22" s="315"/>
    </row>
    <row r="23" spans="1:22" ht="15" thickBot="1">
      <c r="A23" s="310"/>
      <c r="B23" s="322" t="s">
        <v>556</v>
      </c>
      <c r="C23" s="323">
        <v>0</v>
      </c>
      <c r="D23" s="324">
        <v>0</v>
      </c>
      <c r="E23" s="324">
        <v>0</v>
      </c>
      <c r="F23" s="324">
        <v>0</v>
      </c>
      <c r="G23" s="324">
        <v>0</v>
      </c>
      <c r="H23" s="324">
        <v>0</v>
      </c>
      <c r="I23" s="324">
        <v>0</v>
      </c>
      <c r="J23" s="325">
        <v>0</v>
      </c>
      <c r="K23" s="325">
        <v>0</v>
      </c>
      <c r="L23" s="324">
        <v>0</v>
      </c>
      <c r="M23" s="324">
        <v>0</v>
      </c>
      <c r="N23" s="324">
        <v>0</v>
      </c>
      <c r="O23" s="325">
        <v>0</v>
      </c>
      <c r="P23" s="325">
        <v>0</v>
      </c>
      <c r="Q23" s="324">
        <v>0</v>
      </c>
      <c r="R23" s="325">
        <v>0</v>
      </c>
      <c r="S23" s="325">
        <v>0</v>
      </c>
      <c r="T23" s="325">
        <v>0</v>
      </c>
      <c r="U23" s="325">
        <v>0</v>
      </c>
      <c r="V23" s="315"/>
    </row>
    <row r="24" spans="1:22" ht="15" thickTop="1">
      <c r="A24" s="310"/>
      <c r="B24" s="311" t="s">
        <v>557</v>
      </c>
      <c r="C24" s="312">
        <v>0.68825207137105571</v>
      </c>
      <c r="D24" s="313">
        <v>0.67262516970420039</v>
      </c>
      <c r="E24" s="313">
        <v>0.39748582298471036</v>
      </c>
      <c r="F24" s="313">
        <v>0.14154523670746713</v>
      </c>
      <c r="G24" s="313">
        <v>0.69041233657391887</v>
      </c>
      <c r="H24" s="313">
        <v>6.2111801242236021E-3</v>
      </c>
      <c r="I24" s="313">
        <v>0</v>
      </c>
      <c r="J24" s="314">
        <v>0.53767397842061426</v>
      </c>
      <c r="K24" s="314">
        <v>0</v>
      </c>
      <c r="L24" s="313">
        <v>0</v>
      </c>
      <c r="M24" s="313">
        <v>0</v>
      </c>
      <c r="N24" s="313">
        <v>0</v>
      </c>
      <c r="O24" s="314">
        <v>0</v>
      </c>
      <c r="P24" s="314">
        <v>0</v>
      </c>
      <c r="Q24" s="313">
        <v>0</v>
      </c>
      <c r="R24" s="314">
        <v>0</v>
      </c>
      <c r="S24" s="314">
        <v>0</v>
      </c>
      <c r="T24" s="314">
        <v>0</v>
      </c>
      <c r="U24" s="314">
        <v>0.53767397842061426</v>
      </c>
      <c r="V24" s="315"/>
    </row>
    <row r="25" spans="1:22">
      <c r="A25" s="310"/>
      <c r="B25" s="311" t="s">
        <v>558</v>
      </c>
      <c r="C25" s="312">
        <v>0.62625059813200179</v>
      </c>
      <c r="D25" s="313">
        <v>0.53060654429369514</v>
      </c>
      <c r="E25" s="313">
        <v>0.19783228750713064</v>
      </c>
      <c r="F25" s="313">
        <v>8.4188348522060016E-2</v>
      </c>
      <c r="G25" s="313">
        <v>0.58161886169094457</v>
      </c>
      <c r="H25" s="313">
        <v>2.1126760563380281E-2</v>
      </c>
      <c r="I25" s="313">
        <v>0</v>
      </c>
      <c r="J25" s="314">
        <v>0.42686327919809813</v>
      </c>
      <c r="K25" s="314">
        <v>0</v>
      </c>
      <c r="L25" s="313">
        <v>0</v>
      </c>
      <c r="M25" s="313">
        <v>0</v>
      </c>
      <c r="N25" s="313">
        <v>0</v>
      </c>
      <c r="O25" s="314">
        <v>0</v>
      </c>
      <c r="P25" s="314">
        <v>0</v>
      </c>
      <c r="Q25" s="313">
        <v>0</v>
      </c>
      <c r="R25" s="314">
        <v>0</v>
      </c>
      <c r="S25" s="314">
        <v>0</v>
      </c>
      <c r="T25" s="314">
        <v>0</v>
      </c>
      <c r="U25" s="314">
        <v>0.42686327919809813</v>
      </c>
      <c r="V25" s="315"/>
    </row>
    <row r="26" spans="1:22">
      <c r="A26" s="310"/>
      <c r="B26" s="316" t="s">
        <v>559</v>
      </c>
      <c r="C26" s="317">
        <v>-6.2001473239053917</v>
      </c>
      <c r="D26" s="318">
        <v>-14.201862541050525</v>
      </c>
      <c r="E26" s="318">
        <v>-19.965353547757971</v>
      </c>
      <c r="F26" s="318">
        <v>-5.7356888185407113</v>
      </c>
      <c r="G26" s="318">
        <v>-10.87934748829743</v>
      </c>
      <c r="H26" s="318">
        <v>1.4915580439156679</v>
      </c>
      <c r="I26" s="318">
        <v>0</v>
      </c>
      <c r="J26" s="320">
        <v>-11.081069922251613</v>
      </c>
      <c r="K26" s="320">
        <v>0</v>
      </c>
      <c r="L26" s="318">
        <v>0</v>
      </c>
      <c r="M26" s="318">
        <v>0</v>
      </c>
      <c r="N26" s="318">
        <v>0</v>
      </c>
      <c r="O26" s="320">
        <v>0</v>
      </c>
      <c r="P26" s="320">
        <v>0</v>
      </c>
      <c r="Q26" s="318">
        <v>0</v>
      </c>
      <c r="R26" s="320">
        <v>0</v>
      </c>
      <c r="S26" s="320">
        <v>0</v>
      </c>
      <c r="T26" s="320">
        <v>0</v>
      </c>
      <c r="U26" s="320">
        <v>-11.081069922251613</v>
      </c>
      <c r="V26" s="315"/>
    </row>
    <row r="27" spans="1:22">
      <c r="A27" s="310"/>
      <c r="B27" s="55" t="s">
        <v>560</v>
      </c>
      <c r="C27" s="307">
        <v>5.0352565790958967E-2</v>
      </c>
      <c r="D27" s="308">
        <v>0</v>
      </c>
      <c r="E27" s="308">
        <v>8.7215562414758446E-3</v>
      </c>
      <c r="F27" s="308">
        <v>0</v>
      </c>
      <c r="G27" s="308">
        <v>0.10526315789473684</v>
      </c>
      <c r="H27" s="308">
        <v>0</v>
      </c>
      <c r="I27" s="308">
        <v>0</v>
      </c>
      <c r="J27" s="309">
        <v>2.9295248076900517E-2</v>
      </c>
      <c r="K27" s="309">
        <v>0</v>
      </c>
      <c r="L27" s="308">
        <v>0</v>
      </c>
      <c r="M27" s="308">
        <v>0</v>
      </c>
      <c r="N27" s="308">
        <v>0</v>
      </c>
      <c r="O27" s="309">
        <v>0</v>
      </c>
      <c r="P27" s="309">
        <v>0</v>
      </c>
      <c r="Q27" s="308">
        <v>0</v>
      </c>
      <c r="R27" s="309">
        <v>0</v>
      </c>
      <c r="S27" s="309">
        <v>0</v>
      </c>
      <c r="T27" s="309">
        <v>0</v>
      </c>
      <c r="U27" s="309">
        <v>2.9295248076900517E-2</v>
      </c>
      <c r="V27" s="315"/>
    </row>
    <row r="28" spans="1:22">
      <c r="A28" s="310"/>
      <c r="B28" s="311" t="s">
        <v>561</v>
      </c>
      <c r="C28" s="312">
        <v>4.1264715873601469E-2</v>
      </c>
      <c r="D28" s="313">
        <v>0</v>
      </c>
      <c r="E28" s="313">
        <v>9.9329720479178554E-3</v>
      </c>
      <c r="F28" s="313">
        <v>0</v>
      </c>
      <c r="G28" s="313">
        <v>0</v>
      </c>
      <c r="H28" s="313">
        <v>0</v>
      </c>
      <c r="I28" s="313">
        <v>0</v>
      </c>
      <c r="J28" s="314">
        <v>2.2906840101591566E-2</v>
      </c>
      <c r="K28" s="314">
        <v>0</v>
      </c>
      <c r="L28" s="313">
        <v>0</v>
      </c>
      <c r="M28" s="313">
        <v>0</v>
      </c>
      <c r="N28" s="313">
        <v>0</v>
      </c>
      <c r="O28" s="314">
        <v>0</v>
      </c>
      <c r="P28" s="314">
        <v>0</v>
      </c>
      <c r="Q28" s="313">
        <v>0</v>
      </c>
      <c r="R28" s="314">
        <v>0</v>
      </c>
      <c r="S28" s="314">
        <v>0</v>
      </c>
      <c r="T28" s="314">
        <v>0</v>
      </c>
      <c r="U28" s="314">
        <v>2.2906840101591566E-2</v>
      </c>
      <c r="V28" s="315"/>
    </row>
    <row r="29" spans="1:22">
      <c r="A29" s="310"/>
      <c r="B29" s="316" t="s">
        <v>562</v>
      </c>
      <c r="C29" s="317">
        <v>-0.90878499173574978</v>
      </c>
      <c r="D29" s="318">
        <v>0</v>
      </c>
      <c r="E29" s="318">
        <v>0.12114158064420108</v>
      </c>
      <c r="F29" s="318">
        <v>0</v>
      </c>
      <c r="G29" s="318">
        <v>-10.526315789473683</v>
      </c>
      <c r="H29" s="318">
        <v>0</v>
      </c>
      <c r="I29" s="318">
        <v>0</v>
      </c>
      <c r="J29" s="320">
        <v>-0.63884079753089507</v>
      </c>
      <c r="K29" s="320">
        <v>0</v>
      </c>
      <c r="L29" s="318">
        <v>0</v>
      </c>
      <c r="M29" s="318">
        <v>0</v>
      </c>
      <c r="N29" s="318">
        <v>0</v>
      </c>
      <c r="O29" s="320">
        <v>0</v>
      </c>
      <c r="P29" s="320">
        <v>0</v>
      </c>
      <c r="Q29" s="318">
        <v>0</v>
      </c>
      <c r="R29" s="320">
        <v>0</v>
      </c>
      <c r="S29" s="320">
        <v>0</v>
      </c>
      <c r="T29" s="320">
        <v>0</v>
      </c>
      <c r="U29" s="320">
        <v>-0.63884079753089507</v>
      </c>
      <c r="V29" s="315"/>
    </row>
    <row r="30" spans="1:22">
      <c r="A30" s="310"/>
      <c r="B30" s="55" t="s">
        <v>563</v>
      </c>
      <c r="C30" s="307">
        <v>0.25964570336310888</v>
      </c>
      <c r="D30" s="308">
        <v>0.32737483029579956</v>
      </c>
      <c r="E30" s="308">
        <v>0.57844914220084698</v>
      </c>
      <c r="F30" s="308">
        <v>0.8584547632925329</v>
      </c>
      <c r="G30" s="308">
        <v>0.20432450553134429</v>
      </c>
      <c r="H30" s="308">
        <v>0.99378881987577639</v>
      </c>
      <c r="I30" s="308">
        <v>0</v>
      </c>
      <c r="J30" s="309">
        <v>0.42877785903397247</v>
      </c>
      <c r="K30" s="309">
        <v>0</v>
      </c>
      <c r="L30" s="308">
        <v>0</v>
      </c>
      <c r="M30" s="308">
        <v>0</v>
      </c>
      <c r="N30" s="308">
        <v>0</v>
      </c>
      <c r="O30" s="309">
        <v>0</v>
      </c>
      <c r="P30" s="309">
        <v>0</v>
      </c>
      <c r="Q30" s="308">
        <v>0</v>
      </c>
      <c r="R30" s="309">
        <v>0</v>
      </c>
      <c r="S30" s="309">
        <v>0</v>
      </c>
      <c r="T30" s="309">
        <v>0</v>
      </c>
      <c r="U30" s="309">
        <v>0.42877785903397247</v>
      </c>
      <c r="V30" s="315"/>
    </row>
    <row r="31" spans="1:22">
      <c r="A31" s="310"/>
      <c r="B31" s="311" t="s">
        <v>564</v>
      </c>
      <c r="C31" s="312">
        <v>0.30838407562580133</v>
      </c>
      <c r="D31" s="313">
        <v>0.46939345570630486</v>
      </c>
      <c r="E31" s="313">
        <v>0.78446948088990298</v>
      </c>
      <c r="F31" s="313">
        <v>0.91581165147793997</v>
      </c>
      <c r="G31" s="313">
        <v>0.41838113830905543</v>
      </c>
      <c r="H31" s="313">
        <v>0.97887323943661975</v>
      </c>
      <c r="I31" s="313">
        <v>0</v>
      </c>
      <c r="J31" s="314">
        <v>0.53635400364271102</v>
      </c>
      <c r="K31" s="314">
        <v>0</v>
      </c>
      <c r="L31" s="313">
        <v>0</v>
      </c>
      <c r="M31" s="313">
        <v>0</v>
      </c>
      <c r="N31" s="313">
        <v>0</v>
      </c>
      <c r="O31" s="314">
        <v>0</v>
      </c>
      <c r="P31" s="314">
        <v>0</v>
      </c>
      <c r="Q31" s="313">
        <v>0</v>
      </c>
      <c r="R31" s="314">
        <v>0</v>
      </c>
      <c r="S31" s="314">
        <v>0</v>
      </c>
      <c r="T31" s="314">
        <v>0</v>
      </c>
      <c r="U31" s="314">
        <v>0.53635400364271102</v>
      </c>
      <c r="V31" s="315"/>
    </row>
    <row r="32" spans="1:22">
      <c r="A32" s="310"/>
      <c r="B32" s="316" t="s">
        <v>565</v>
      </c>
      <c r="C32" s="317">
        <v>4.8738372262692451</v>
      </c>
      <c r="D32" s="318">
        <v>14.201862541050531</v>
      </c>
      <c r="E32" s="318">
        <v>20.6020338689056</v>
      </c>
      <c r="F32" s="318">
        <v>5.7356888185407069</v>
      </c>
      <c r="G32" s="318">
        <v>21.405663277771115</v>
      </c>
      <c r="H32" s="318">
        <v>-1.4915580439156639</v>
      </c>
      <c r="I32" s="318">
        <v>0</v>
      </c>
      <c r="J32" s="320">
        <v>10.757614460873855</v>
      </c>
      <c r="K32" s="320">
        <v>0</v>
      </c>
      <c r="L32" s="318">
        <v>0</v>
      </c>
      <c r="M32" s="318">
        <v>0</v>
      </c>
      <c r="N32" s="318">
        <v>0</v>
      </c>
      <c r="O32" s="320">
        <v>0</v>
      </c>
      <c r="P32" s="320">
        <v>0</v>
      </c>
      <c r="Q32" s="318">
        <v>0</v>
      </c>
      <c r="R32" s="320">
        <v>0</v>
      </c>
      <c r="S32" s="320">
        <v>0</v>
      </c>
      <c r="T32" s="320">
        <v>0</v>
      </c>
      <c r="U32" s="320">
        <v>10.757614460873855</v>
      </c>
      <c r="V32" s="315"/>
    </row>
    <row r="33" spans="1:22">
      <c r="A33" s="310"/>
      <c r="B33" s="55" t="s">
        <v>566</v>
      </c>
      <c r="C33" s="307">
        <v>1.7496594748763951E-3</v>
      </c>
      <c r="D33" s="308">
        <v>0</v>
      </c>
      <c r="E33" s="308">
        <v>0</v>
      </c>
      <c r="F33" s="308">
        <v>0</v>
      </c>
      <c r="G33" s="308">
        <v>0</v>
      </c>
      <c r="H33" s="308">
        <v>0</v>
      </c>
      <c r="I33" s="308">
        <v>0</v>
      </c>
      <c r="J33" s="309">
        <v>9.0924378292342413E-4</v>
      </c>
      <c r="K33" s="309">
        <v>0</v>
      </c>
      <c r="L33" s="308">
        <v>0</v>
      </c>
      <c r="M33" s="308">
        <v>0</v>
      </c>
      <c r="N33" s="308">
        <v>0</v>
      </c>
      <c r="O33" s="309">
        <v>0</v>
      </c>
      <c r="P33" s="309">
        <v>0</v>
      </c>
      <c r="Q33" s="308">
        <v>0</v>
      </c>
      <c r="R33" s="309">
        <v>0</v>
      </c>
      <c r="S33" s="309">
        <v>0</v>
      </c>
      <c r="T33" s="309">
        <v>0</v>
      </c>
      <c r="U33" s="309">
        <v>9.0924378292342413E-4</v>
      </c>
      <c r="V33" s="315"/>
    </row>
    <row r="34" spans="1:22">
      <c r="A34" s="310"/>
      <c r="B34" s="311" t="s">
        <v>567</v>
      </c>
      <c r="C34" s="312">
        <v>2.4100610368595423E-2</v>
      </c>
      <c r="D34" s="313">
        <v>0</v>
      </c>
      <c r="E34" s="313">
        <v>0</v>
      </c>
      <c r="F34" s="313">
        <v>0</v>
      </c>
      <c r="G34" s="313">
        <v>0</v>
      </c>
      <c r="H34" s="313">
        <v>0</v>
      </c>
      <c r="I34" s="313">
        <v>0</v>
      </c>
      <c r="J34" s="314">
        <v>1.1910112765193156E-2</v>
      </c>
      <c r="K34" s="314">
        <v>0</v>
      </c>
      <c r="L34" s="313">
        <v>0</v>
      </c>
      <c r="M34" s="313">
        <v>0</v>
      </c>
      <c r="N34" s="313">
        <v>0</v>
      </c>
      <c r="O34" s="314">
        <v>0</v>
      </c>
      <c r="P34" s="314">
        <v>0</v>
      </c>
      <c r="Q34" s="313">
        <v>0</v>
      </c>
      <c r="R34" s="314">
        <v>0</v>
      </c>
      <c r="S34" s="314">
        <v>0</v>
      </c>
      <c r="T34" s="314">
        <v>0</v>
      </c>
      <c r="U34" s="314">
        <v>1.1910112765193156E-2</v>
      </c>
      <c r="V34" s="315"/>
    </row>
    <row r="35" spans="1:22">
      <c r="A35" s="310"/>
      <c r="B35" s="316" t="s">
        <v>568</v>
      </c>
      <c r="C35" s="317">
        <v>2.2350950893719026</v>
      </c>
      <c r="D35" s="318">
        <v>0</v>
      </c>
      <c r="E35" s="318">
        <v>0</v>
      </c>
      <c r="F35" s="318">
        <v>0</v>
      </c>
      <c r="G35" s="318">
        <v>0</v>
      </c>
      <c r="H35" s="318">
        <v>0</v>
      </c>
      <c r="I35" s="318">
        <v>0</v>
      </c>
      <c r="J35" s="320">
        <v>1.1000868982269731</v>
      </c>
      <c r="K35" s="320">
        <v>0</v>
      </c>
      <c r="L35" s="318">
        <v>0</v>
      </c>
      <c r="M35" s="318">
        <v>0</v>
      </c>
      <c r="N35" s="318">
        <v>0</v>
      </c>
      <c r="O35" s="320">
        <v>0</v>
      </c>
      <c r="P35" s="320">
        <v>0</v>
      </c>
      <c r="Q35" s="318">
        <v>0</v>
      </c>
      <c r="R35" s="320">
        <v>0</v>
      </c>
      <c r="S35" s="320">
        <v>0</v>
      </c>
      <c r="T35" s="320">
        <v>0</v>
      </c>
      <c r="U35" s="320">
        <v>1.1000868982269731</v>
      </c>
      <c r="V35" s="315"/>
    </row>
    <row r="36" spans="1:22">
      <c r="A36" s="310"/>
      <c r="B36" s="55" t="s">
        <v>569</v>
      </c>
      <c r="C36" s="307">
        <v>0</v>
      </c>
      <c r="D36" s="308">
        <v>0</v>
      </c>
      <c r="E36" s="308">
        <v>1.5343478572966765E-2</v>
      </c>
      <c r="F36" s="308">
        <v>0</v>
      </c>
      <c r="G36" s="308">
        <v>0</v>
      </c>
      <c r="H36" s="308">
        <v>0</v>
      </c>
      <c r="I36" s="308">
        <v>0</v>
      </c>
      <c r="J36" s="309">
        <v>3.3436706855893661E-3</v>
      </c>
      <c r="K36" s="309">
        <v>0</v>
      </c>
      <c r="L36" s="308">
        <v>0</v>
      </c>
      <c r="M36" s="308">
        <v>0</v>
      </c>
      <c r="N36" s="308">
        <v>0</v>
      </c>
      <c r="O36" s="309">
        <v>0</v>
      </c>
      <c r="P36" s="309">
        <v>0</v>
      </c>
      <c r="Q36" s="308">
        <v>0</v>
      </c>
      <c r="R36" s="309">
        <v>0</v>
      </c>
      <c r="S36" s="309">
        <v>0</v>
      </c>
      <c r="T36" s="309">
        <v>0</v>
      </c>
      <c r="U36" s="309">
        <v>3.3436706855893661E-3</v>
      </c>
      <c r="V36" s="315"/>
    </row>
    <row r="37" spans="1:22">
      <c r="A37" s="310"/>
      <c r="B37" s="311" t="s">
        <v>570</v>
      </c>
      <c r="C37" s="312">
        <v>0</v>
      </c>
      <c r="D37" s="313">
        <v>0</v>
      </c>
      <c r="E37" s="313">
        <v>7.7652595550484881E-3</v>
      </c>
      <c r="F37" s="313">
        <v>0</v>
      </c>
      <c r="G37" s="313">
        <v>0</v>
      </c>
      <c r="H37" s="313">
        <v>0</v>
      </c>
      <c r="I37" s="313">
        <v>0</v>
      </c>
      <c r="J37" s="314">
        <v>1.9657642924060846E-3</v>
      </c>
      <c r="K37" s="314">
        <v>0</v>
      </c>
      <c r="L37" s="313">
        <v>0</v>
      </c>
      <c r="M37" s="313">
        <v>0</v>
      </c>
      <c r="N37" s="313">
        <v>0</v>
      </c>
      <c r="O37" s="314">
        <v>0</v>
      </c>
      <c r="P37" s="314">
        <v>0</v>
      </c>
      <c r="Q37" s="313">
        <v>0</v>
      </c>
      <c r="R37" s="314">
        <v>0</v>
      </c>
      <c r="S37" s="314">
        <v>0</v>
      </c>
      <c r="T37" s="314">
        <v>0</v>
      </c>
      <c r="U37" s="314">
        <v>1.9657642924060846E-3</v>
      </c>
      <c r="V37" s="315"/>
    </row>
    <row r="38" spans="1:22">
      <c r="A38" s="310"/>
      <c r="B38" s="316" t="s">
        <v>571</v>
      </c>
      <c r="C38" s="317">
        <v>0</v>
      </c>
      <c r="D38" s="318">
        <v>0</v>
      </c>
      <c r="E38" s="318">
        <v>-0.75782190179182773</v>
      </c>
      <c r="F38" s="318">
        <v>0</v>
      </c>
      <c r="G38" s="318">
        <v>0</v>
      </c>
      <c r="H38" s="318">
        <v>0</v>
      </c>
      <c r="I38" s="318">
        <v>0</v>
      </c>
      <c r="J38" s="320">
        <v>-0.13779063931832813</v>
      </c>
      <c r="K38" s="320">
        <v>0</v>
      </c>
      <c r="L38" s="318">
        <v>0</v>
      </c>
      <c r="M38" s="318">
        <v>0</v>
      </c>
      <c r="N38" s="318">
        <v>0</v>
      </c>
      <c r="O38" s="320">
        <v>0</v>
      </c>
      <c r="P38" s="320">
        <v>0</v>
      </c>
      <c r="Q38" s="318">
        <v>0</v>
      </c>
      <c r="R38" s="320">
        <v>0</v>
      </c>
      <c r="S38" s="320">
        <v>0</v>
      </c>
      <c r="T38" s="320">
        <v>0</v>
      </c>
      <c r="U38" s="320">
        <v>-0.13779063931832813</v>
      </c>
      <c r="V38" s="315"/>
    </row>
    <row r="39" spans="1:22">
      <c r="A39" s="310"/>
      <c r="B39" s="55" t="s">
        <v>572</v>
      </c>
      <c r="C39" s="307">
        <v>0</v>
      </c>
      <c r="D39" s="308">
        <v>0</v>
      </c>
      <c r="E39" s="308">
        <v>0</v>
      </c>
      <c r="F39" s="308">
        <v>0</v>
      </c>
      <c r="G39" s="308">
        <v>0</v>
      </c>
      <c r="H39" s="308">
        <v>0</v>
      </c>
      <c r="I39" s="308">
        <v>0</v>
      </c>
      <c r="J39" s="309">
        <v>0</v>
      </c>
      <c r="K39" s="309">
        <v>0</v>
      </c>
      <c r="L39" s="308">
        <v>0</v>
      </c>
      <c r="M39" s="308">
        <v>0</v>
      </c>
      <c r="N39" s="308">
        <v>0</v>
      </c>
      <c r="O39" s="309">
        <v>0</v>
      </c>
      <c r="P39" s="309">
        <v>0</v>
      </c>
      <c r="Q39" s="308">
        <v>0</v>
      </c>
      <c r="R39" s="309">
        <v>0</v>
      </c>
      <c r="S39" s="309">
        <v>0</v>
      </c>
      <c r="T39" s="309">
        <v>0</v>
      </c>
      <c r="U39" s="309">
        <v>0</v>
      </c>
      <c r="V39" s="315"/>
    </row>
    <row r="40" spans="1:22">
      <c r="A40" s="310"/>
      <c r="B40" s="311" t="s">
        <v>573</v>
      </c>
      <c r="C40" s="312">
        <v>0</v>
      </c>
      <c r="D40" s="313">
        <v>0</v>
      </c>
      <c r="E40" s="313">
        <v>0</v>
      </c>
      <c r="F40" s="313">
        <v>0</v>
      </c>
      <c r="G40" s="313">
        <v>0</v>
      </c>
      <c r="H40" s="313">
        <v>0</v>
      </c>
      <c r="I40" s="313">
        <v>0</v>
      </c>
      <c r="J40" s="314">
        <v>0</v>
      </c>
      <c r="K40" s="314">
        <v>0</v>
      </c>
      <c r="L40" s="313">
        <v>0</v>
      </c>
      <c r="M40" s="313">
        <v>0</v>
      </c>
      <c r="N40" s="313">
        <v>0</v>
      </c>
      <c r="O40" s="314">
        <v>0</v>
      </c>
      <c r="P40" s="314">
        <v>0</v>
      </c>
      <c r="Q40" s="313">
        <v>0</v>
      </c>
      <c r="R40" s="314">
        <v>0</v>
      </c>
      <c r="S40" s="314">
        <v>0</v>
      </c>
      <c r="T40" s="314">
        <v>0</v>
      </c>
      <c r="U40" s="314">
        <v>0</v>
      </c>
      <c r="V40" s="315"/>
    </row>
    <row r="41" spans="1:22" ht="15" thickBot="1">
      <c r="A41" s="326"/>
      <c r="B41" s="327" t="s">
        <v>574</v>
      </c>
      <c r="C41" s="328">
        <v>0</v>
      </c>
      <c r="D41" s="329">
        <v>0</v>
      </c>
      <c r="E41" s="329">
        <v>0</v>
      </c>
      <c r="F41" s="329">
        <v>0</v>
      </c>
      <c r="G41" s="329">
        <v>0</v>
      </c>
      <c r="H41" s="329">
        <v>0</v>
      </c>
      <c r="I41" s="329">
        <v>0</v>
      </c>
      <c r="J41" s="330">
        <v>0</v>
      </c>
      <c r="K41" s="330">
        <v>0</v>
      </c>
      <c r="L41" s="329">
        <v>0</v>
      </c>
      <c r="M41" s="329">
        <v>0</v>
      </c>
      <c r="N41" s="329">
        <v>0</v>
      </c>
      <c r="O41" s="330">
        <v>0</v>
      </c>
      <c r="P41" s="330">
        <v>0</v>
      </c>
      <c r="Q41" s="329">
        <v>0</v>
      </c>
      <c r="R41" s="330">
        <v>0</v>
      </c>
      <c r="S41" s="330">
        <v>0</v>
      </c>
      <c r="T41" s="330">
        <v>0</v>
      </c>
      <c r="U41" s="330">
        <v>0</v>
      </c>
      <c r="V41" s="315"/>
    </row>
    <row r="42" spans="1:22">
      <c r="A42" s="331" t="s">
        <v>80</v>
      </c>
      <c r="B42" s="311" t="s">
        <v>539</v>
      </c>
      <c r="C42" s="312">
        <v>0.88511741557445767</v>
      </c>
      <c r="D42" s="313">
        <v>0.56559656143471171</v>
      </c>
      <c r="E42" s="313">
        <v>0.71641295622585721</v>
      </c>
      <c r="F42" s="313">
        <v>0.72370171566554131</v>
      </c>
      <c r="G42" s="313">
        <v>0</v>
      </c>
      <c r="H42" s="313">
        <v>0.67936266135991408</v>
      </c>
      <c r="I42" s="313">
        <v>0.55837004405286339</v>
      </c>
      <c r="J42" s="314">
        <v>0.75350220796541834</v>
      </c>
      <c r="K42" s="314">
        <v>0</v>
      </c>
      <c r="L42" s="313">
        <v>0.5961929477232597</v>
      </c>
      <c r="M42" s="313">
        <v>0.6236735435013645</v>
      </c>
      <c r="N42" s="313">
        <v>0.57810571868079852</v>
      </c>
      <c r="O42" s="314">
        <v>0.59020993634799734</v>
      </c>
      <c r="P42" s="314">
        <v>0</v>
      </c>
      <c r="Q42" s="313">
        <v>0</v>
      </c>
      <c r="R42" s="314">
        <v>0</v>
      </c>
      <c r="S42" s="314">
        <v>0</v>
      </c>
      <c r="T42" s="314">
        <v>0</v>
      </c>
      <c r="U42" s="314">
        <v>0.7034846869569148</v>
      </c>
      <c r="V42" s="315"/>
    </row>
    <row r="43" spans="1:22">
      <c r="A43" s="310"/>
      <c r="B43" s="311" t="s">
        <v>540</v>
      </c>
      <c r="C43" s="312">
        <v>0.85945982947587796</v>
      </c>
      <c r="D43" s="313">
        <v>0.47017884505164165</v>
      </c>
      <c r="E43" s="313">
        <v>0.67680817535496862</v>
      </c>
      <c r="F43" s="313">
        <v>0.62205807036205329</v>
      </c>
      <c r="G43" s="313">
        <v>0</v>
      </c>
      <c r="H43" s="313">
        <v>0.63491293456915088</v>
      </c>
      <c r="I43" s="313">
        <v>0.59702553169889849</v>
      </c>
      <c r="J43" s="314">
        <v>0.70615692711497424</v>
      </c>
      <c r="K43" s="314">
        <v>0</v>
      </c>
      <c r="L43" s="313">
        <v>0.5273117285987724</v>
      </c>
      <c r="M43" s="313">
        <v>0.57558548809061016</v>
      </c>
      <c r="N43" s="313">
        <v>0.54903094127332597</v>
      </c>
      <c r="O43" s="314">
        <v>0.55093825953828723</v>
      </c>
      <c r="P43" s="314">
        <v>0</v>
      </c>
      <c r="Q43" s="313">
        <v>0</v>
      </c>
      <c r="R43" s="314">
        <v>0</v>
      </c>
      <c r="S43" s="314">
        <v>0</v>
      </c>
      <c r="T43" s="314">
        <v>0</v>
      </c>
      <c r="U43" s="314">
        <v>0.6579688292995991</v>
      </c>
      <c r="V43" s="315"/>
    </row>
    <row r="44" spans="1:22">
      <c r="A44" s="310"/>
      <c r="B44" s="316" t="s">
        <v>541</v>
      </c>
      <c r="C44" s="317">
        <v>-2.565758609857971</v>
      </c>
      <c r="D44" s="318">
        <v>-9.5417716383070061</v>
      </c>
      <c r="E44" s="318">
        <v>-3.960478087088859</v>
      </c>
      <c r="F44" s="318">
        <v>-10.164364530348802</v>
      </c>
      <c r="G44" s="318">
        <v>0</v>
      </c>
      <c r="H44" s="318">
        <v>-4.4449726790763204</v>
      </c>
      <c r="I44" s="318">
        <v>3.8655487646035103</v>
      </c>
      <c r="J44" s="320">
        <v>-4.7345280850444098</v>
      </c>
      <c r="K44" s="320">
        <v>0</v>
      </c>
      <c r="L44" s="318">
        <v>-6.8881219124487298</v>
      </c>
      <c r="M44" s="318">
        <v>-4.8088055410754338</v>
      </c>
      <c r="N44" s="318">
        <v>-2.9074777407472552</v>
      </c>
      <c r="O44" s="320">
        <v>-3.927167680971011</v>
      </c>
      <c r="P44" s="320">
        <v>0</v>
      </c>
      <c r="Q44" s="318">
        <v>0</v>
      </c>
      <c r="R44" s="320">
        <v>0</v>
      </c>
      <c r="S44" s="320">
        <v>0</v>
      </c>
      <c r="T44" s="320">
        <v>0</v>
      </c>
      <c r="U44" s="320">
        <v>-4.5515857657315699</v>
      </c>
      <c r="V44" s="315"/>
    </row>
    <row r="45" spans="1:22">
      <c r="A45" s="310"/>
      <c r="B45" s="55" t="s">
        <v>542</v>
      </c>
      <c r="C45" s="307">
        <v>1.3621161356536994E-2</v>
      </c>
      <c r="D45" s="308">
        <v>1.2947976878612717E-2</v>
      </c>
      <c r="E45" s="308">
        <v>4.9891758146571506E-2</v>
      </c>
      <c r="F45" s="308">
        <v>6.9845505509970235E-2</v>
      </c>
      <c r="G45" s="308">
        <v>0</v>
      </c>
      <c r="H45" s="308">
        <v>7.0654949544758108E-2</v>
      </c>
      <c r="I45" s="308">
        <v>0.17526031237484982</v>
      </c>
      <c r="J45" s="309">
        <v>4.1265456233578197E-2</v>
      </c>
      <c r="K45" s="309">
        <v>0</v>
      </c>
      <c r="L45" s="308">
        <v>9.6206324575953767E-2</v>
      </c>
      <c r="M45" s="308">
        <v>6.0914193551832606E-2</v>
      </c>
      <c r="N45" s="308">
        <v>0.11580708960900654</v>
      </c>
      <c r="O45" s="309">
        <v>0.10157821203474199</v>
      </c>
      <c r="P45" s="309">
        <v>0</v>
      </c>
      <c r="Q45" s="308">
        <v>0</v>
      </c>
      <c r="R45" s="309">
        <v>0</v>
      </c>
      <c r="S45" s="309">
        <v>0</v>
      </c>
      <c r="T45" s="309">
        <v>0</v>
      </c>
      <c r="U45" s="309">
        <v>5.9739658965188763E-2</v>
      </c>
      <c r="V45" s="315"/>
    </row>
    <row r="46" spans="1:22">
      <c r="A46" s="310"/>
      <c r="B46" s="311" t="s">
        <v>543</v>
      </c>
      <c r="C46" s="312">
        <v>7.5146223293808042E-3</v>
      </c>
      <c r="D46" s="313">
        <v>7.6901032833097446E-2</v>
      </c>
      <c r="E46" s="313">
        <v>4.5447093112274281E-2</v>
      </c>
      <c r="F46" s="313">
        <v>0.13385336642634835</v>
      </c>
      <c r="G46" s="313">
        <v>0</v>
      </c>
      <c r="H46" s="313">
        <v>7.4097742782641959E-2</v>
      </c>
      <c r="I46" s="313">
        <v>1.1979087355971777E-2</v>
      </c>
      <c r="J46" s="314">
        <v>4.9518961166409643E-2</v>
      </c>
      <c r="K46" s="314">
        <v>0</v>
      </c>
      <c r="L46" s="313">
        <v>0.11943106065606231</v>
      </c>
      <c r="M46" s="313">
        <v>5.2218498166573854E-2</v>
      </c>
      <c r="N46" s="313">
        <v>9.2271542261251366E-2</v>
      </c>
      <c r="O46" s="314">
        <v>8.8477290616107179E-2</v>
      </c>
      <c r="P46" s="314">
        <v>0</v>
      </c>
      <c r="Q46" s="313">
        <v>0</v>
      </c>
      <c r="R46" s="314">
        <v>0</v>
      </c>
      <c r="S46" s="314">
        <v>0</v>
      </c>
      <c r="T46" s="314">
        <v>0</v>
      </c>
      <c r="U46" s="314">
        <v>6.1613690618446244E-2</v>
      </c>
      <c r="V46" s="315"/>
    </row>
    <row r="47" spans="1:22">
      <c r="A47" s="310"/>
      <c r="B47" s="316" t="s">
        <v>544</v>
      </c>
      <c r="C47" s="317">
        <v>-0.61065390271561903</v>
      </c>
      <c r="D47" s="318">
        <v>6.3953055954484723</v>
      </c>
      <c r="E47" s="318">
        <v>-0.44446650342972249</v>
      </c>
      <c r="F47" s="318">
        <v>6.4007860916378112</v>
      </c>
      <c r="G47" s="318">
        <v>0</v>
      </c>
      <c r="H47" s="318">
        <v>0.34427932378838511</v>
      </c>
      <c r="I47" s="318">
        <v>-16.328122501887805</v>
      </c>
      <c r="J47" s="320">
        <v>0.82535049328314458</v>
      </c>
      <c r="K47" s="320">
        <v>0</v>
      </c>
      <c r="L47" s="318">
        <v>2.3224736080108541</v>
      </c>
      <c r="M47" s="318">
        <v>-0.86956953852587515</v>
      </c>
      <c r="N47" s="318">
        <v>-2.3535547347755177</v>
      </c>
      <c r="O47" s="320">
        <v>-1.310092141863481</v>
      </c>
      <c r="P47" s="320">
        <v>0</v>
      </c>
      <c r="Q47" s="318">
        <v>0</v>
      </c>
      <c r="R47" s="320">
        <v>0</v>
      </c>
      <c r="S47" s="320">
        <v>0</v>
      </c>
      <c r="T47" s="320">
        <v>0</v>
      </c>
      <c r="U47" s="320">
        <v>0.18740316532574811</v>
      </c>
      <c r="V47" s="315"/>
    </row>
    <row r="48" spans="1:22">
      <c r="A48" s="310"/>
      <c r="B48" s="55" t="s">
        <v>545</v>
      </c>
      <c r="C48" s="307">
        <v>9.6534070058506408E-2</v>
      </c>
      <c r="D48" s="308">
        <v>0.42145546168667558</v>
      </c>
      <c r="E48" s="308">
        <v>0.2284994121746628</v>
      </c>
      <c r="F48" s="308">
        <v>0.20645277882448843</v>
      </c>
      <c r="G48" s="308">
        <v>0</v>
      </c>
      <c r="H48" s="308">
        <v>0.24992955638131131</v>
      </c>
      <c r="I48" s="308">
        <v>0.21255506607929514</v>
      </c>
      <c r="J48" s="309">
        <v>0.2013391438687816</v>
      </c>
      <c r="K48" s="309">
        <v>0</v>
      </c>
      <c r="L48" s="308">
        <v>0.30760072770078656</v>
      </c>
      <c r="M48" s="308">
        <v>0.31467526849562344</v>
      </c>
      <c r="N48" s="308">
        <v>0.29168821948374662</v>
      </c>
      <c r="O48" s="309">
        <v>0.29888757110894953</v>
      </c>
      <c r="P48" s="309">
        <v>0</v>
      </c>
      <c r="Q48" s="308">
        <v>0</v>
      </c>
      <c r="R48" s="309">
        <v>0</v>
      </c>
      <c r="S48" s="309">
        <v>0</v>
      </c>
      <c r="T48" s="309">
        <v>0</v>
      </c>
      <c r="U48" s="309">
        <v>0.23121888318836764</v>
      </c>
      <c r="V48" s="315"/>
    </row>
    <row r="49" spans="1:22">
      <c r="A49" s="310"/>
      <c r="B49" s="311" t="s">
        <v>546</v>
      </c>
      <c r="C49" s="312">
        <v>0.12906744145363827</v>
      </c>
      <c r="D49" s="313">
        <v>0.45292012211526089</v>
      </c>
      <c r="E49" s="313">
        <v>0.26717866516355182</v>
      </c>
      <c r="F49" s="313">
        <v>0.2440885632115983</v>
      </c>
      <c r="G49" s="313">
        <v>0</v>
      </c>
      <c r="H49" s="313">
        <v>0.29093334701626561</v>
      </c>
      <c r="I49" s="313">
        <v>0.23907415867214862</v>
      </c>
      <c r="J49" s="314">
        <v>0.23779878732651058</v>
      </c>
      <c r="K49" s="314">
        <v>0</v>
      </c>
      <c r="L49" s="313">
        <v>0.35325721074516536</v>
      </c>
      <c r="M49" s="313">
        <v>0.37163915651890689</v>
      </c>
      <c r="N49" s="313">
        <v>0.34351330954994513</v>
      </c>
      <c r="O49" s="314">
        <v>0.35089803914784667</v>
      </c>
      <c r="P49" s="314">
        <v>0</v>
      </c>
      <c r="Q49" s="313">
        <v>0</v>
      </c>
      <c r="R49" s="314">
        <v>0</v>
      </c>
      <c r="S49" s="314">
        <v>0</v>
      </c>
      <c r="T49" s="314">
        <v>0</v>
      </c>
      <c r="U49" s="314">
        <v>0.27291078702796179</v>
      </c>
      <c r="V49" s="315"/>
    </row>
    <row r="50" spans="1:22">
      <c r="A50" s="310"/>
      <c r="B50" s="316" t="s">
        <v>547</v>
      </c>
      <c r="C50" s="317">
        <v>3.2533371395131865</v>
      </c>
      <c r="D50" s="318">
        <v>3.1464660428585312</v>
      </c>
      <c r="E50" s="318">
        <v>3.8679252988889026</v>
      </c>
      <c r="F50" s="318">
        <v>3.7635784387109879</v>
      </c>
      <c r="G50" s="318">
        <v>0</v>
      </c>
      <c r="H50" s="318">
        <v>4.1003790634954296</v>
      </c>
      <c r="I50" s="318">
        <v>2.6519092592853482</v>
      </c>
      <c r="J50" s="320">
        <v>3.6459643457728981</v>
      </c>
      <c r="K50" s="320">
        <v>0</v>
      </c>
      <c r="L50" s="318">
        <v>4.5656483044378806</v>
      </c>
      <c r="M50" s="318">
        <v>5.6963888023283449</v>
      </c>
      <c r="N50" s="318">
        <v>5.1825090066198509</v>
      </c>
      <c r="O50" s="320">
        <v>5.2010468038897137</v>
      </c>
      <c r="P50" s="320">
        <v>0</v>
      </c>
      <c r="Q50" s="318">
        <v>0</v>
      </c>
      <c r="R50" s="320">
        <v>0</v>
      </c>
      <c r="S50" s="320">
        <v>0</v>
      </c>
      <c r="T50" s="320">
        <v>0</v>
      </c>
      <c r="U50" s="320">
        <v>4.1691903839594149</v>
      </c>
      <c r="V50" s="315"/>
    </row>
    <row r="51" spans="1:22">
      <c r="A51" s="310"/>
      <c r="B51" s="55" t="s">
        <v>548</v>
      </c>
      <c r="C51" s="307">
        <v>7.7570955047631554E-4</v>
      </c>
      <c r="D51" s="308">
        <v>0</v>
      </c>
      <c r="E51" s="308">
        <v>1.6054442280048189E-3</v>
      </c>
      <c r="F51" s="308">
        <v>0</v>
      </c>
      <c r="G51" s="308">
        <v>0</v>
      </c>
      <c r="H51" s="308">
        <v>5.2832714016519031E-5</v>
      </c>
      <c r="I51" s="308">
        <v>5.3814577492991587E-2</v>
      </c>
      <c r="J51" s="309">
        <v>1.3418075065116429E-3</v>
      </c>
      <c r="K51" s="309">
        <v>0</v>
      </c>
      <c r="L51" s="308">
        <v>0</v>
      </c>
      <c r="M51" s="308">
        <v>7.369944511794582E-4</v>
      </c>
      <c r="N51" s="308">
        <v>1.4398972226448264E-2</v>
      </c>
      <c r="O51" s="309">
        <v>9.32428050831117E-3</v>
      </c>
      <c r="P51" s="309">
        <v>0</v>
      </c>
      <c r="Q51" s="308">
        <v>0</v>
      </c>
      <c r="R51" s="309">
        <v>0</v>
      </c>
      <c r="S51" s="309">
        <v>0</v>
      </c>
      <c r="T51" s="309">
        <v>0</v>
      </c>
      <c r="U51" s="309">
        <v>3.7868926725919973E-3</v>
      </c>
      <c r="V51" s="315"/>
    </row>
    <row r="52" spans="1:22">
      <c r="A52" s="310"/>
      <c r="B52" s="311" t="s">
        <v>549</v>
      </c>
      <c r="C52" s="312">
        <v>5.35454870433612E-4</v>
      </c>
      <c r="D52" s="313">
        <v>0</v>
      </c>
      <c r="E52" s="313">
        <v>2.8156304071824318E-3</v>
      </c>
      <c r="F52" s="313">
        <v>0</v>
      </c>
      <c r="G52" s="313">
        <v>0</v>
      </c>
      <c r="H52" s="313">
        <v>5.5975631941561443E-5</v>
      </c>
      <c r="I52" s="313">
        <v>0.15192122227298108</v>
      </c>
      <c r="J52" s="314">
        <v>2.6456649064598033E-3</v>
      </c>
      <c r="K52" s="314">
        <v>0</v>
      </c>
      <c r="L52" s="313">
        <v>0</v>
      </c>
      <c r="M52" s="313">
        <v>5.5685722390913766E-4</v>
      </c>
      <c r="N52" s="313">
        <v>1.4451838638858397E-2</v>
      </c>
      <c r="O52" s="314">
        <v>9.2247411623260361E-3</v>
      </c>
      <c r="P52" s="314">
        <v>0</v>
      </c>
      <c r="Q52" s="313">
        <v>0</v>
      </c>
      <c r="R52" s="314">
        <v>0</v>
      </c>
      <c r="S52" s="314">
        <v>0</v>
      </c>
      <c r="T52" s="314">
        <v>0</v>
      </c>
      <c r="U52" s="314">
        <v>4.6881587321194089E-3</v>
      </c>
      <c r="V52" s="315"/>
    </row>
    <row r="53" spans="1:22">
      <c r="A53" s="310"/>
      <c r="B53" s="316" t="s">
        <v>550</v>
      </c>
      <c r="C53" s="317">
        <v>-2.4025468004270353E-2</v>
      </c>
      <c r="D53" s="318">
        <v>0</v>
      </c>
      <c r="E53" s="318">
        <v>0.12101861791776129</v>
      </c>
      <c r="F53" s="318">
        <v>0</v>
      </c>
      <c r="G53" s="318">
        <v>0</v>
      </c>
      <c r="H53" s="318">
        <v>3.1429179250424112E-4</v>
      </c>
      <c r="I53" s="318">
        <v>9.810664477998948</v>
      </c>
      <c r="J53" s="320">
        <v>0.13038573999481604</v>
      </c>
      <c r="K53" s="320">
        <v>0</v>
      </c>
      <c r="L53" s="318">
        <v>0</v>
      </c>
      <c r="M53" s="318">
        <v>-1.8013722727032055E-2</v>
      </c>
      <c r="N53" s="318">
        <v>5.2866412410132457E-3</v>
      </c>
      <c r="O53" s="320">
        <v>-9.9539345985133823E-3</v>
      </c>
      <c r="P53" s="320">
        <v>0</v>
      </c>
      <c r="Q53" s="318">
        <v>0</v>
      </c>
      <c r="R53" s="320">
        <v>0</v>
      </c>
      <c r="S53" s="320">
        <v>0</v>
      </c>
      <c r="T53" s="320">
        <v>0</v>
      </c>
      <c r="U53" s="320">
        <v>9.0126605952741162E-2</v>
      </c>
      <c r="V53" s="315"/>
    </row>
    <row r="54" spans="1:22">
      <c r="A54" s="310"/>
      <c r="B54" s="55" t="s">
        <v>551</v>
      </c>
      <c r="C54" s="307">
        <v>0</v>
      </c>
      <c r="D54" s="308">
        <v>0</v>
      </c>
      <c r="E54" s="308">
        <v>3.5904292249036933E-3</v>
      </c>
      <c r="F54" s="308">
        <v>0</v>
      </c>
      <c r="G54" s="308">
        <v>0</v>
      </c>
      <c r="H54" s="308">
        <v>0</v>
      </c>
      <c r="I54" s="308">
        <v>0</v>
      </c>
      <c r="J54" s="309">
        <v>1.291388649478593E-3</v>
      </c>
      <c r="K54" s="309">
        <v>0</v>
      </c>
      <c r="L54" s="308">
        <v>0</v>
      </c>
      <c r="M54" s="308">
        <v>0</v>
      </c>
      <c r="N54" s="308">
        <v>0</v>
      </c>
      <c r="O54" s="309">
        <v>0</v>
      </c>
      <c r="P54" s="309">
        <v>0</v>
      </c>
      <c r="Q54" s="308">
        <v>0</v>
      </c>
      <c r="R54" s="309">
        <v>0</v>
      </c>
      <c r="S54" s="309">
        <v>0</v>
      </c>
      <c r="T54" s="309">
        <v>0</v>
      </c>
      <c r="U54" s="309">
        <v>8.9582762098869674E-4</v>
      </c>
      <c r="V54" s="315"/>
    </row>
    <row r="55" spans="1:22">
      <c r="A55" s="310"/>
      <c r="B55" s="311" t="s">
        <v>552</v>
      </c>
      <c r="C55" s="312">
        <v>0</v>
      </c>
      <c r="D55" s="313">
        <v>0</v>
      </c>
      <c r="E55" s="313">
        <v>7.7504359620228641E-3</v>
      </c>
      <c r="F55" s="313">
        <v>0</v>
      </c>
      <c r="G55" s="313">
        <v>0</v>
      </c>
      <c r="H55" s="313">
        <v>0</v>
      </c>
      <c r="I55" s="313">
        <v>0</v>
      </c>
      <c r="J55" s="314">
        <v>2.7843980248298209E-3</v>
      </c>
      <c r="K55" s="314">
        <v>0</v>
      </c>
      <c r="L55" s="313">
        <v>0</v>
      </c>
      <c r="M55" s="313">
        <v>0</v>
      </c>
      <c r="N55" s="313">
        <v>7.3236827661909986E-4</v>
      </c>
      <c r="O55" s="314">
        <v>4.6166953543286656E-4</v>
      </c>
      <c r="P55" s="314">
        <v>0</v>
      </c>
      <c r="Q55" s="313">
        <v>0</v>
      </c>
      <c r="R55" s="314">
        <v>0</v>
      </c>
      <c r="S55" s="314">
        <v>0</v>
      </c>
      <c r="T55" s="314">
        <v>0</v>
      </c>
      <c r="U55" s="314">
        <v>2.0633000448441329E-3</v>
      </c>
      <c r="V55" s="315"/>
    </row>
    <row r="56" spans="1:22">
      <c r="A56" s="310"/>
      <c r="B56" s="316" t="s">
        <v>553</v>
      </c>
      <c r="C56" s="317">
        <v>0</v>
      </c>
      <c r="D56" s="318">
        <v>0</v>
      </c>
      <c r="E56" s="318">
        <v>0.41600067371191701</v>
      </c>
      <c r="F56" s="318">
        <v>0</v>
      </c>
      <c r="G56" s="318">
        <v>0</v>
      </c>
      <c r="H56" s="318">
        <v>0</v>
      </c>
      <c r="I56" s="318">
        <v>0</v>
      </c>
      <c r="J56" s="320">
        <v>0.1493009375351228</v>
      </c>
      <c r="K56" s="320">
        <v>0</v>
      </c>
      <c r="L56" s="318">
        <v>0</v>
      </c>
      <c r="M56" s="318">
        <v>0</v>
      </c>
      <c r="N56" s="318">
        <v>0</v>
      </c>
      <c r="O56" s="320">
        <v>0</v>
      </c>
      <c r="P56" s="320">
        <v>0</v>
      </c>
      <c r="Q56" s="318">
        <v>0</v>
      </c>
      <c r="R56" s="320">
        <v>0</v>
      </c>
      <c r="S56" s="320">
        <v>0</v>
      </c>
      <c r="T56" s="320">
        <v>0</v>
      </c>
      <c r="U56" s="320">
        <v>0.11674724238554361</v>
      </c>
      <c r="V56" s="315"/>
    </row>
    <row r="57" spans="1:22">
      <c r="A57" s="310"/>
      <c r="B57" s="55" t="s">
        <v>554</v>
      </c>
      <c r="C57" s="307">
        <v>3.951643460022615E-3</v>
      </c>
      <c r="D57" s="308">
        <v>0</v>
      </c>
      <c r="E57" s="308">
        <v>0</v>
      </c>
      <c r="F57" s="308">
        <v>0</v>
      </c>
      <c r="G57" s="308">
        <v>0</v>
      </c>
      <c r="H57" s="308">
        <v>0</v>
      </c>
      <c r="I57" s="308">
        <v>0</v>
      </c>
      <c r="J57" s="309">
        <v>1.2599957762315995E-3</v>
      </c>
      <c r="K57" s="309">
        <v>0</v>
      </c>
      <c r="L57" s="308">
        <v>0</v>
      </c>
      <c r="M57" s="308">
        <v>0</v>
      </c>
      <c r="N57" s="308">
        <v>0</v>
      </c>
      <c r="O57" s="309">
        <v>0</v>
      </c>
      <c r="P57" s="309">
        <v>0</v>
      </c>
      <c r="Q57" s="308">
        <v>0</v>
      </c>
      <c r="R57" s="309">
        <v>0</v>
      </c>
      <c r="S57" s="309">
        <v>0</v>
      </c>
      <c r="T57" s="309">
        <v>0</v>
      </c>
      <c r="U57" s="309">
        <v>8.7405059594808756E-4</v>
      </c>
      <c r="V57" s="315"/>
    </row>
    <row r="58" spans="1:22">
      <c r="A58" s="310"/>
      <c r="B58" s="311" t="s">
        <v>555</v>
      </c>
      <c r="C58" s="312">
        <v>3.4226518706693947E-3</v>
      </c>
      <c r="D58" s="313">
        <v>0</v>
      </c>
      <c r="E58" s="313">
        <v>0</v>
      </c>
      <c r="F58" s="313">
        <v>0</v>
      </c>
      <c r="G58" s="313">
        <v>0</v>
      </c>
      <c r="H58" s="313">
        <v>0</v>
      </c>
      <c r="I58" s="313">
        <v>0</v>
      </c>
      <c r="J58" s="314">
        <v>1.0952614608159259E-3</v>
      </c>
      <c r="K58" s="314">
        <v>0</v>
      </c>
      <c r="L58" s="313">
        <v>0</v>
      </c>
      <c r="M58" s="313">
        <v>0</v>
      </c>
      <c r="N58" s="313">
        <v>0</v>
      </c>
      <c r="O58" s="314">
        <v>0</v>
      </c>
      <c r="P58" s="314">
        <v>0</v>
      </c>
      <c r="Q58" s="313">
        <v>0</v>
      </c>
      <c r="R58" s="314">
        <v>0</v>
      </c>
      <c r="S58" s="314">
        <v>0</v>
      </c>
      <c r="T58" s="314">
        <v>0</v>
      </c>
      <c r="U58" s="314">
        <v>7.5523427702933125E-4</v>
      </c>
      <c r="V58" s="315"/>
    </row>
    <row r="59" spans="1:22" ht="15" thickBot="1">
      <c r="A59" s="310"/>
      <c r="B59" s="322" t="s">
        <v>556</v>
      </c>
      <c r="C59" s="323">
        <v>-5.2899158935322023E-2</v>
      </c>
      <c r="D59" s="324">
        <v>0</v>
      </c>
      <c r="E59" s="324">
        <v>0</v>
      </c>
      <c r="F59" s="324">
        <v>0</v>
      </c>
      <c r="G59" s="324">
        <v>0</v>
      </c>
      <c r="H59" s="324">
        <v>0</v>
      </c>
      <c r="I59" s="324">
        <v>0</v>
      </c>
      <c r="J59" s="325">
        <v>-1.6473431541567354E-2</v>
      </c>
      <c r="K59" s="325">
        <v>0</v>
      </c>
      <c r="L59" s="324">
        <v>0</v>
      </c>
      <c r="M59" s="324">
        <v>0</v>
      </c>
      <c r="N59" s="324">
        <v>0</v>
      </c>
      <c r="O59" s="325">
        <v>0</v>
      </c>
      <c r="P59" s="325">
        <v>0</v>
      </c>
      <c r="Q59" s="324">
        <v>0</v>
      </c>
      <c r="R59" s="325">
        <v>0</v>
      </c>
      <c r="S59" s="325">
        <v>0</v>
      </c>
      <c r="T59" s="325">
        <v>0</v>
      </c>
      <c r="U59" s="325">
        <v>-1.1881631891875631E-2</v>
      </c>
      <c r="V59" s="315"/>
    </row>
    <row r="60" spans="1:22" ht="15" thickTop="1">
      <c r="A60" s="310"/>
      <c r="B60" s="311" t="s">
        <v>557</v>
      </c>
      <c r="C60" s="312">
        <v>0.66558841247806388</v>
      </c>
      <c r="D60" s="313">
        <v>0.44144709831670975</v>
      </c>
      <c r="E60" s="313">
        <v>0.29901739363826207</v>
      </c>
      <c r="F60" s="313">
        <v>0.16629206369305771</v>
      </c>
      <c r="G60" s="313">
        <v>0</v>
      </c>
      <c r="H60" s="313">
        <v>0.60272684532204979</v>
      </c>
      <c r="I60" s="313">
        <v>0.82660860562136484</v>
      </c>
      <c r="J60" s="314">
        <v>0.47471317812692609</v>
      </c>
      <c r="K60" s="314">
        <v>0</v>
      </c>
      <c r="L60" s="313">
        <v>0</v>
      </c>
      <c r="M60" s="313">
        <v>0</v>
      </c>
      <c r="N60" s="313">
        <v>0</v>
      </c>
      <c r="O60" s="314">
        <v>0</v>
      </c>
      <c r="P60" s="314">
        <v>0</v>
      </c>
      <c r="Q60" s="313">
        <v>0</v>
      </c>
      <c r="R60" s="314">
        <v>0</v>
      </c>
      <c r="S60" s="314">
        <v>0</v>
      </c>
      <c r="T60" s="314">
        <v>0</v>
      </c>
      <c r="U60" s="314">
        <v>0.47471317812692609</v>
      </c>
      <c r="V60" s="315"/>
    </row>
    <row r="61" spans="1:22">
      <c r="A61" s="310"/>
      <c r="B61" s="311" t="s">
        <v>558</v>
      </c>
      <c r="C61" s="312">
        <v>0.59540555583666444</v>
      </c>
      <c r="D61" s="313">
        <v>0.3331599551041638</v>
      </c>
      <c r="E61" s="313">
        <v>0.24754402643849879</v>
      </c>
      <c r="F61" s="313">
        <v>0.10043750590160838</v>
      </c>
      <c r="G61" s="313">
        <v>0</v>
      </c>
      <c r="H61" s="313">
        <v>0.44675925925925924</v>
      </c>
      <c r="I61" s="313">
        <v>0.69106116048092003</v>
      </c>
      <c r="J61" s="314">
        <v>0.39567740742352381</v>
      </c>
      <c r="K61" s="314">
        <v>0</v>
      </c>
      <c r="L61" s="313">
        <v>0</v>
      </c>
      <c r="M61" s="313">
        <v>0</v>
      </c>
      <c r="N61" s="313">
        <v>0</v>
      </c>
      <c r="O61" s="314">
        <v>0</v>
      </c>
      <c r="P61" s="314">
        <v>0</v>
      </c>
      <c r="Q61" s="313">
        <v>0</v>
      </c>
      <c r="R61" s="314">
        <v>0</v>
      </c>
      <c r="S61" s="314">
        <v>0</v>
      </c>
      <c r="T61" s="314">
        <v>0</v>
      </c>
      <c r="U61" s="314">
        <v>0.39567740742352381</v>
      </c>
      <c r="V61" s="315"/>
    </row>
    <row r="62" spans="1:22">
      <c r="A62" s="310"/>
      <c r="B62" s="316" t="s">
        <v>559</v>
      </c>
      <c r="C62" s="317">
        <v>-7.0182856641399454</v>
      </c>
      <c r="D62" s="318">
        <v>-10.828714321254596</v>
      </c>
      <c r="E62" s="318">
        <v>-5.1473367199763285</v>
      </c>
      <c r="F62" s="318">
        <v>-6.5854557791449331</v>
      </c>
      <c r="G62" s="318">
        <v>0</v>
      </c>
      <c r="H62" s="318">
        <v>-15.596758606279055</v>
      </c>
      <c r="I62" s="318">
        <v>-13.554744514044481</v>
      </c>
      <c r="J62" s="320">
        <v>-7.9035770703402282</v>
      </c>
      <c r="K62" s="320">
        <v>0</v>
      </c>
      <c r="L62" s="318">
        <v>0</v>
      </c>
      <c r="M62" s="318">
        <v>0</v>
      </c>
      <c r="N62" s="318">
        <v>0</v>
      </c>
      <c r="O62" s="320">
        <v>0</v>
      </c>
      <c r="P62" s="320">
        <v>0</v>
      </c>
      <c r="Q62" s="318">
        <v>0</v>
      </c>
      <c r="R62" s="320">
        <v>0</v>
      </c>
      <c r="S62" s="320">
        <v>0</v>
      </c>
      <c r="T62" s="320">
        <v>0</v>
      </c>
      <c r="U62" s="320">
        <v>-7.9035770703402282</v>
      </c>
      <c r="V62" s="315"/>
    </row>
    <row r="63" spans="1:22">
      <c r="A63" s="310"/>
      <c r="B63" s="55" t="s">
        <v>560</v>
      </c>
      <c r="C63" s="307">
        <v>7.4517404856072706E-3</v>
      </c>
      <c r="D63" s="308">
        <v>0.27169319197237179</v>
      </c>
      <c r="E63" s="308">
        <v>1.4729275908796323E-3</v>
      </c>
      <c r="F63" s="308">
        <v>2.4470543543638607E-2</v>
      </c>
      <c r="G63" s="308">
        <v>0</v>
      </c>
      <c r="H63" s="308">
        <v>0</v>
      </c>
      <c r="I63" s="308">
        <v>5.5102165108559947E-2</v>
      </c>
      <c r="J63" s="309">
        <v>4.443170882038084E-2</v>
      </c>
      <c r="K63" s="309">
        <v>0</v>
      </c>
      <c r="L63" s="308">
        <v>0</v>
      </c>
      <c r="M63" s="308">
        <v>0</v>
      </c>
      <c r="N63" s="308">
        <v>0</v>
      </c>
      <c r="O63" s="309">
        <v>0</v>
      </c>
      <c r="P63" s="309">
        <v>0</v>
      </c>
      <c r="Q63" s="308">
        <v>0</v>
      </c>
      <c r="R63" s="309">
        <v>0</v>
      </c>
      <c r="S63" s="309">
        <v>0</v>
      </c>
      <c r="T63" s="309">
        <v>0</v>
      </c>
      <c r="U63" s="309">
        <v>4.443170882038084E-2</v>
      </c>
      <c r="V63" s="315"/>
    </row>
    <row r="64" spans="1:22">
      <c r="A64" s="310"/>
      <c r="B64" s="311" t="s">
        <v>561</v>
      </c>
      <c r="C64" s="312">
        <v>4.5919141830693721E-3</v>
      </c>
      <c r="D64" s="313">
        <v>0.33362533877193462</v>
      </c>
      <c r="E64" s="313">
        <v>2.7162841233192993E-4</v>
      </c>
      <c r="F64" s="313">
        <v>0</v>
      </c>
      <c r="G64" s="313">
        <v>0</v>
      </c>
      <c r="H64" s="313">
        <v>0</v>
      </c>
      <c r="I64" s="313">
        <v>6.2934625924693885E-2</v>
      </c>
      <c r="J64" s="314">
        <v>4.5050802837126321E-2</v>
      </c>
      <c r="K64" s="314">
        <v>0</v>
      </c>
      <c r="L64" s="313">
        <v>0</v>
      </c>
      <c r="M64" s="313">
        <v>0</v>
      </c>
      <c r="N64" s="313">
        <v>0</v>
      </c>
      <c r="O64" s="314">
        <v>0</v>
      </c>
      <c r="P64" s="314">
        <v>0</v>
      </c>
      <c r="Q64" s="313">
        <v>0</v>
      </c>
      <c r="R64" s="314">
        <v>0</v>
      </c>
      <c r="S64" s="314">
        <v>0</v>
      </c>
      <c r="T64" s="314">
        <v>0</v>
      </c>
      <c r="U64" s="314">
        <v>4.5050802837126321E-2</v>
      </c>
      <c r="V64" s="315"/>
    </row>
    <row r="65" spans="1:23">
      <c r="A65" s="310"/>
      <c r="B65" s="316" t="s">
        <v>562</v>
      </c>
      <c r="C65" s="317">
        <v>-0.28598263025378984</v>
      </c>
      <c r="D65" s="318">
        <v>6.1932146799562826</v>
      </c>
      <c r="E65" s="318">
        <v>-0.12012991785477023</v>
      </c>
      <c r="F65" s="318">
        <v>-2.4470543543638605</v>
      </c>
      <c r="G65" s="318">
        <v>0</v>
      </c>
      <c r="H65" s="318">
        <v>0</v>
      </c>
      <c r="I65" s="318">
        <v>0.78324608161339371</v>
      </c>
      <c r="J65" s="320">
        <v>6.1909401674548059E-2</v>
      </c>
      <c r="K65" s="320">
        <v>0</v>
      </c>
      <c r="L65" s="318">
        <v>0</v>
      </c>
      <c r="M65" s="318">
        <v>0</v>
      </c>
      <c r="N65" s="318">
        <v>0</v>
      </c>
      <c r="O65" s="320">
        <v>0</v>
      </c>
      <c r="P65" s="320">
        <v>0</v>
      </c>
      <c r="Q65" s="318">
        <v>0</v>
      </c>
      <c r="R65" s="320">
        <v>0</v>
      </c>
      <c r="S65" s="320">
        <v>0</v>
      </c>
      <c r="T65" s="320">
        <v>0</v>
      </c>
      <c r="U65" s="320">
        <v>6.1909401674548059E-2</v>
      </c>
      <c r="V65" s="315"/>
    </row>
    <row r="66" spans="1:23">
      <c r="A66" s="310"/>
      <c r="B66" s="55" t="s">
        <v>563</v>
      </c>
      <c r="C66" s="307">
        <v>0.32648838366641347</v>
      </c>
      <c r="D66" s="308">
        <v>0.28685970971091845</v>
      </c>
      <c r="E66" s="308">
        <v>0.68009321995064054</v>
      </c>
      <c r="F66" s="308">
        <v>0.80923739276330364</v>
      </c>
      <c r="G66" s="308">
        <v>0</v>
      </c>
      <c r="H66" s="308">
        <v>0.39727315467795016</v>
      </c>
      <c r="I66" s="308">
        <v>0.11828922927007522</v>
      </c>
      <c r="J66" s="309">
        <v>0.47273975713405203</v>
      </c>
      <c r="K66" s="309">
        <v>0</v>
      </c>
      <c r="L66" s="308">
        <v>0</v>
      </c>
      <c r="M66" s="308">
        <v>0</v>
      </c>
      <c r="N66" s="308">
        <v>0</v>
      </c>
      <c r="O66" s="309">
        <v>0</v>
      </c>
      <c r="P66" s="309">
        <v>0</v>
      </c>
      <c r="Q66" s="308">
        <v>0</v>
      </c>
      <c r="R66" s="309">
        <v>0</v>
      </c>
      <c r="S66" s="309">
        <v>0</v>
      </c>
      <c r="T66" s="309">
        <v>0</v>
      </c>
      <c r="U66" s="309">
        <v>0.47273975713405203</v>
      </c>
      <c r="V66" s="315"/>
    </row>
    <row r="67" spans="1:23">
      <c r="A67" s="310"/>
      <c r="B67" s="311" t="s">
        <v>564</v>
      </c>
      <c r="C67" s="312">
        <v>0.39893993826848151</v>
      </c>
      <c r="D67" s="313">
        <v>0.33321470612390158</v>
      </c>
      <c r="E67" s="313">
        <v>0.72844919578587919</v>
      </c>
      <c r="F67" s="313">
        <v>0.89956249409839162</v>
      </c>
      <c r="G67" s="313">
        <v>0</v>
      </c>
      <c r="H67" s="313">
        <v>0.5532407407407407</v>
      </c>
      <c r="I67" s="313">
        <v>0.14319884680574696</v>
      </c>
      <c r="J67" s="314">
        <v>0.53141181845872676</v>
      </c>
      <c r="K67" s="314">
        <v>0</v>
      </c>
      <c r="L67" s="313">
        <v>0</v>
      </c>
      <c r="M67" s="313">
        <v>0</v>
      </c>
      <c r="N67" s="313">
        <v>0</v>
      </c>
      <c r="O67" s="314">
        <v>0</v>
      </c>
      <c r="P67" s="314">
        <v>0</v>
      </c>
      <c r="Q67" s="313">
        <v>0</v>
      </c>
      <c r="R67" s="314">
        <v>0</v>
      </c>
      <c r="S67" s="314">
        <v>0</v>
      </c>
      <c r="T67" s="314">
        <v>0</v>
      </c>
      <c r="U67" s="314">
        <v>0.53141181845872676</v>
      </c>
      <c r="V67" s="315"/>
    </row>
    <row r="68" spans="1:23">
      <c r="A68" s="310"/>
      <c r="B68" s="316" t="s">
        <v>565</v>
      </c>
      <c r="C68" s="317">
        <v>7.2451554602068038</v>
      </c>
      <c r="D68" s="318">
        <v>4.6354996412983134</v>
      </c>
      <c r="E68" s="318">
        <v>4.8355975835238656</v>
      </c>
      <c r="F68" s="318">
        <v>9.0325101335087972</v>
      </c>
      <c r="G68" s="318">
        <v>0</v>
      </c>
      <c r="H68" s="318">
        <v>15.596758606279055</v>
      </c>
      <c r="I68" s="318">
        <v>2.490961753567174</v>
      </c>
      <c r="J68" s="320">
        <v>5.8672061324674729</v>
      </c>
      <c r="K68" s="320">
        <v>0</v>
      </c>
      <c r="L68" s="318">
        <v>0</v>
      </c>
      <c r="M68" s="318">
        <v>0</v>
      </c>
      <c r="N68" s="318">
        <v>0</v>
      </c>
      <c r="O68" s="320">
        <v>0</v>
      </c>
      <c r="P68" s="320">
        <v>0</v>
      </c>
      <c r="Q68" s="318">
        <v>0</v>
      </c>
      <c r="R68" s="320">
        <v>0</v>
      </c>
      <c r="S68" s="320">
        <v>0</v>
      </c>
      <c r="T68" s="320">
        <v>0</v>
      </c>
      <c r="U68" s="320">
        <v>5.8672061324674729</v>
      </c>
      <c r="V68" s="315"/>
    </row>
    <row r="69" spans="1:23">
      <c r="A69" s="310"/>
      <c r="B69" s="55" t="s">
        <v>566</v>
      </c>
      <c r="C69" s="307">
        <v>4.7146336991539853E-4</v>
      </c>
      <c r="D69" s="308">
        <v>0</v>
      </c>
      <c r="E69" s="308">
        <v>1.5554115359688918E-2</v>
      </c>
      <c r="F69" s="308">
        <v>0</v>
      </c>
      <c r="G69" s="308">
        <v>0</v>
      </c>
      <c r="H69" s="308">
        <v>0</v>
      </c>
      <c r="I69" s="308">
        <v>0</v>
      </c>
      <c r="J69" s="309">
        <v>6.5203992257701748E-3</v>
      </c>
      <c r="K69" s="309">
        <v>0</v>
      </c>
      <c r="L69" s="308">
        <v>0</v>
      </c>
      <c r="M69" s="308">
        <v>0</v>
      </c>
      <c r="N69" s="308">
        <v>0</v>
      </c>
      <c r="O69" s="309">
        <v>0</v>
      </c>
      <c r="P69" s="309">
        <v>0</v>
      </c>
      <c r="Q69" s="308">
        <v>0</v>
      </c>
      <c r="R69" s="309">
        <v>0</v>
      </c>
      <c r="S69" s="309">
        <v>0</v>
      </c>
      <c r="T69" s="309">
        <v>0</v>
      </c>
      <c r="U69" s="309">
        <v>6.5203992257701748E-3</v>
      </c>
      <c r="V69" s="315"/>
    </row>
    <row r="70" spans="1:23">
      <c r="A70" s="310"/>
      <c r="B70" s="311" t="s">
        <v>567</v>
      </c>
      <c r="C70" s="312">
        <v>1.0246420077923391E-3</v>
      </c>
      <c r="D70" s="313">
        <v>0</v>
      </c>
      <c r="E70" s="313">
        <v>1.3057565821384917E-2</v>
      </c>
      <c r="F70" s="313">
        <v>0</v>
      </c>
      <c r="G70" s="313">
        <v>0</v>
      </c>
      <c r="H70" s="313">
        <v>0</v>
      </c>
      <c r="I70" s="313">
        <v>0.10280536678863914</v>
      </c>
      <c r="J70" s="314">
        <v>2.3361690091814977E-2</v>
      </c>
      <c r="K70" s="314">
        <v>0</v>
      </c>
      <c r="L70" s="313">
        <v>0</v>
      </c>
      <c r="M70" s="313">
        <v>0</v>
      </c>
      <c r="N70" s="313">
        <v>0</v>
      </c>
      <c r="O70" s="314">
        <v>0</v>
      </c>
      <c r="P70" s="314">
        <v>0</v>
      </c>
      <c r="Q70" s="313">
        <v>0</v>
      </c>
      <c r="R70" s="314">
        <v>0</v>
      </c>
      <c r="S70" s="314">
        <v>0</v>
      </c>
      <c r="T70" s="314">
        <v>0</v>
      </c>
      <c r="U70" s="314">
        <v>2.3361690091814977E-2</v>
      </c>
      <c r="V70" s="315"/>
    </row>
    <row r="71" spans="1:23">
      <c r="A71" s="310"/>
      <c r="B71" s="316" t="s">
        <v>568</v>
      </c>
      <c r="C71" s="317">
        <v>5.5317863787694058E-2</v>
      </c>
      <c r="D71" s="318">
        <v>0</v>
      </c>
      <c r="E71" s="318">
        <v>-0.24965495383040009</v>
      </c>
      <c r="F71" s="318">
        <v>0</v>
      </c>
      <c r="G71" s="318">
        <v>0</v>
      </c>
      <c r="H71" s="318">
        <v>0</v>
      </c>
      <c r="I71" s="318">
        <v>0</v>
      </c>
      <c r="J71" s="320">
        <v>1.68412908660448</v>
      </c>
      <c r="K71" s="320">
        <v>0</v>
      </c>
      <c r="L71" s="318">
        <v>0</v>
      </c>
      <c r="M71" s="318">
        <v>0</v>
      </c>
      <c r="N71" s="318">
        <v>0</v>
      </c>
      <c r="O71" s="320">
        <v>0</v>
      </c>
      <c r="P71" s="320">
        <v>0</v>
      </c>
      <c r="Q71" s="318">
        <v>0</v>
      </c>
      <c r="R71" s="320">
        <v>0</v>
      </c>
      <c r="S71" s="320">
        <v>0</v>
      </c>
      <c r="T71" s="320">
        <v>0</v>
      </c>
      <c r="U71" s="320">
        <v>1.68412908660448</v>
      </c>
      <c r="V71" s="315"/>
    </row>
    <row r="72" spans="1:23">
      <c r="A72" s="310"/>
      <c r="B72" s="55" t="s">
        <v>569</v>
      </c>
      <c r="C72" s="307">
        <v>0</v>
      </c>
      <c r="D72" s="308">
        <v>0</v>
      </c>
      <c r="E72" s="308">
        <v>3.8623434605288137E-3</v>
      </c>
      <c r="F72" s="308">
        <v>0</v>
      </c>
      <c r="G72" s="308">
        <v>0</v>
      </c>
      <c r="H72" s="308">
        <v>0</v>
      </c>
      <c r="I72" s="308">
        <v>0</v>
      </c>
      <c r="J72" s="309">
        <v>1.5949566928708139E-3</v>
      </c>
      <c r="K72" s="309">
        <v>0</v>
      </c>
      <c r="L72" s="308">
        <v>0</v>
      </c>
      <c r="M72" s="308">
        <v>0</v>
      </c>
      <c r="N72" s="308">
        <v>0</v>
      </c>
      <c r="O72" s="309">
        <v>0</v>
      </c>
      <c r="P72" s="309">
        <v>0</v>
      </c>
      <c r="Q72" s="308">
        <v>0</v>
      </c>
      <c r="R72" s="309">
        <v>0</v>
      </c>
      <c r="S72" s="309">
        <v>0</v>
      </c>
      <c r="T72" s="309">
        <v>0</v>
      </c>
      <c r="U72" s="309">
        <v>1.5949566928708139E-3</v>
      </c>
      <c r="V72" s="315"/>
    </row>
    <row r="73" spans="1:23">
      <c r="A73" s="310"/>
      <c r="B73" s="311" t="s">
        <v>570</v>
      </c>
      <c r="C73" s="312">
        <v>3.7949703992308857E-5</v>
      </c>
      <c r="D73" s="313">
        <v>0</v>
      </c>
      <c r="E73" s="313">
        <v>1.067758354190515E-2</v>
      </c>
      <c r="F73" s="313">
        <v>0</v>
      </c>
      <c r="G73" s="313">
        <v>0</v>
      </c>
      <c r="H73" s="313">
        <v>0</v>
      </c>
      <c r="I73" s="313">
        <v>0</v>
      </c>
      <c r="J73" s="314">
        <v>4.498281188808146E-3</v>
      </c>
      <c r="K73" s="314">
        <v>0</v>
      </c>
      <c r="L73" s="313">
        <v>0</v>
      </c>
      <c r="M73" s="313">
        <v>0</v>
      </c>
      <c r="N73" s="313">
        <v>0</v>
      </c>
      <c r="O73" s="314">
        <v>0</v>
      </c>
      <c r="P73" s="314">
        <v>0</v>
      </c>
      <c r="Q73" s="313">
        <v>0</v>
      </c>
      <c r="R73" s="314">
        <v>0</v>
      </c>
      <c r="S73" s="314">
        <v>0</v>
      </c>
      <c r="T73" s="314">
        <v>0</v>
      </c>
      <c r="U73" s="314">
        <v>4.498281188808146E-3</v>
      </c>
      <c r="V73" s="315"/>
    </row>
    <row r="74" spans="1:23">
      <c r="A74" s="310"/>
      <c r="B74" s="316" t="s">
        <v>571</v>
      </c>
      <c r="C74" s="317">
        <v>0</v>
      </c>
      <c r="D74" s="318">
        <v>0</v>
      </c>
      <c r="E74" s="318">
        <v>0.6815240081376337</v>
      </c>
      <c r="F74" s="318">
        <v>0</v>
      </c>
      <c r="G74" s="318">
        <v>0</v>
      </c>
      <c r="H74" s="318">
        <v>0</v>
      </c>
      <c r="I74" s="318">
        <v>0</v>
      </c>
      <c r="J74" s="320">
        <v>0.29033244959373322</v>
      </c>
      <c r="K74" s="320">
        <v>0</v>
      </c>
      <c r="L74" s="318">
        <v>0</v>
      </c>
      <c r="M74" s="318">
        <v>0</v>
      </c>
      <c r="N74" s="318">
        <v>0</v>
      </c>
      <c r="O74" s="320">
        <v>0</v>
      </c>
      <c r="P74" s="320">
        <v>0</v>
      </c>
      <c r="Q74" s="318">
        <v>0</v>
      </c>
      <c r="R74" s="320">
        <v>0</v>
      </c>
      <c r="S74" s="320">
        <v>0</v>
      </c>
      <c r="T74" s="320">
        <v>0</v>
      </c>
      <c r="U74" s="320">
        <v>0.29033244959373322</v>
      </c>
      <c r="V74" s="315"/>
    </row>
    <row r="75" spans="1:23">
      <c r="A75" s="310"/>
      <c r="B75" s="55" t="s">
        <v>572</v>
      </c>
      <c r="C75" s="307">
        <v>0</v>
      </c>
      <c r="D75" s="308">
        <v>0</v>
      </c>
      <c r="E75" s="308">
        <v>0</v>
      </c>
      <c r="F75" s="308">
        <v>0</v>
      </c>
      <c r="G75" s="308">
        <v>0</v>
      </c>
      <c r="H75" s="308">
        <v>0</v>
      </c>
      <c r="I75" s="308">
        <v>0</v>
      </c>
      <c r="J75" s="309">
        <v>0</v>
      </c>
      <c r="K75" s="309">
        <v>0</v>
      </c>
      <c r="L75" s="308">
        <v>0</v>
      </c>
      <c r="M75" s="308">
        <v>0</v>
      </c>
      <c r="N75" s="308">
        <v>0</v>
      </c>
      <c r="O75" s="309">
        <v>0</v>
      </c>
      <c r="P75" s="309">
        <v>0</v>
      </c>
      <c r="Q75" s="308">
        <v>0</v>
      </c>
      <c r="R75" s="309">
        <v>0</v>
      </c>
      <c r="S75" s="309">
        <v>0</v>
      </c>
      <c r="T75" s="309">
        <v>0</v>
      </c>
      <c r="U75" s="309">
        <v>0</v>
      </c>
      <c r="V75" s="315"/>
    </row>
    <row r="76" spans="1:23">
      <c r="A76" s="310"/>
      <c r="B76" s="311" t="s">
        <v>573</v>
      </c>
      <c r="C76" s="312">
        <v>0</v>
      </c>
      <c r="D76" s="313">
        <v>0</v>
      </c>
      <c r="E76" s="313">
        <v>0</v>
      </c>
      <c r="F76" s="313">
        <v>0</v>
      </c>
      <c r="G76" s="313">
        <v>0</v>
      </c>
      <c r="H76" s="313">
        <v>0</v>
      </c>
      <c r="I76" s="313">
        <v>0</v>
      </c>
      <c r="J76" s="314">
        <v>0</v>
      </c>
      <c r="K76" s="314">
        <v>0</v>
      </c>
      <c r="L76" s="313">
        <v>0</v>
      </c>
      <c r="M76" s="313">
        <v>0</v>
      </c>
      <c r="N76" s="313">
        <v>0</v>
      </c>
      <c r="O76" s="314">
        <v>0</v>
      </c>
      <c r="P76" s="314">
        <v>0</v>
      </c>
      <c r="Q76" s="313">
        <v>0</v>
      </c>
      <c r="R76" s="314">
        <v>0</v>
      </c>
      <c r="S76" s="314">
        <v>0</v>
      </c>
      <c r="T76" s="314">
        <v>0</v>
      </c>
      <c r="U76" s="314">
        <v>0</v>
      </c>
      <c r="V76" s="315"/>
      <c r="W76" s="332"/>
    </row>
    <row r="77" spans="1:23" ht="15" thickBot="1">
      <c r="A77" s="326"/>
      <c r="B77" s="327" t="s">
        <v>574</v>
      </c>
      <c r="C77" s="328">
        <v>0</v>
      </c>
      <c r="D77" s="329">
        <v>0</v>
      </c>
      <c r="E77" s="329">
        <v>0</v>
      </c>
      <c r="F77" s="329">
        <v>0</v>
      </c>
      <c r="G77" s="329">
        <v>0</v>
      </c>
      <c r="H77" s="329">
        <v>0</v>
      </c>
      <c r="I77" s="329">
        <v>0</v>
      </c>
      <c r="J77" s="330">
        <v>0</v>
      </c>
      <c r="K77" s="330">
        <v>0</v>
      </c>
      <c r="L77" s="329">
        <v>0</v>
      </c>
      <c r="M77" s="329">
        <v>0</v>
      </c>
      <c r="N77" s="329">
        <v>0</v>
      </c>
      <c r="O77" s="330">
        <v>0</v>
      </c>
      <c r="P77" s="330">
        <v>0</v>
      </c>
      <c r="Q77" s="329">
        <v>0</v>
      </c>
      <c r="R77" s="330">
        <v>0</v>
      </c>
      <c r="S77" s="330">
        <v>0</v>
      </c>
      <c r="T77" s="330">
        <v>0</v>
      </c>
      <c r="U77" s="330">
        <v>0</v>
      </c>
      <c r="V77" s="315"/>
    </row>
    <row r="78" spans="1:23">
      <c r="A78" s="306" t="s">
        <v>110</v>
      </c>
      <c r="B78" s="55" t="s">
        <v>539</v>
      </c>
      <c r="C78" s="307">
        <v>0.95831240582621802</v>
      </c>
      <c r="D78" s="308">
        <v>0</v>
      </c>
      <c r="E78" s="308">
        <v>0.88168853572292782</v>
      </c>
      <c r="F78" s="308">
        <v>0</v>
      </c>
      <c r="G78" s="308">
        <v>0</v>
      </c>
      <c r="H78" s="308">
        <v>0</v>
      </c>
      <c r="I78" s="308">
        <v>0</v>
      </c>
      <c r="J78" s="309">
        <v>0.94481730872337444</v>
      </c>
      <c r="K78" s="309">
        <v>0</v>
      </c>
      <c r="L78" s="308">
        <v>0</v>
      </c>
      <c r="M78" s="308">
        <v>0.78871152136173095</v>
      </c>
      <c r="N78" s="308">
        <v>0</v>
      </c>
      <c r="O78" s="309">
        <v>0.78871152136173095</v>
      </c>
      <c r="P78" s="309">
        <v>0</v>
      </c>
      <c r="Q78" s="308">
        <v>0</v>
      </c>
      <c r="R78" s="309">
        <v>0</v>
      </c>
      <c r="S78" s="309">
        <v>0</v>
      </c>
      <c r="T78" s="309">
        <v>0</v>
      </c>
      <c r="U78" s="309">
        <v>0.90373677178331602</v>
      </c>
      <c r="V78" s="315"/>
    </row>
    <row r="79" spans="1:23">
      <c r="A79" s="310"/>
      <c r="B79" s="311" t="s">
        <v>540</v>
      </c>
      <c r="C79" s="312">
        <v>0.49079771965928087</v>
      </c>
      <c r="D79" s="313">
        <v>0</v>
      </c>
      <c r="E79" s="313">
        <v>0.7929631148163333</v>
      </c>
      <c r="F79" s="313">
        <v>0</v>
      </c>
      <c r="G79" s="313">
        <v>0</v>
      </c>
      <c r="H79" s="313">
        <v>0</v>
      </c>
      <c r="I79" s="313">
        <v>0</v>
      </c>
      <c r="J79" s="314">
        <v>0.54514159149440544</v>
      </c>
      <c r="K79" s="314">
        <v>0</v>
      </c>
      <c r="L79" s="313">
        <v>0</v>
      </c>
      <c r="M79" s="313">
        <v>0.74155805748893078</v>
      </c>
      <c r="N79" s="313">
        <v>0</v>
      </c>
      <c r="O79" s="314">
        <v>0.74155805748893078</v>
      </c>
      <c r="P79" s="314">
        <v>0</v>
      </c>
      <c r="Q79" s="313">
        <v>0</v>
      </c>
      <c r="R79" s="314">
        <v>0</v>
      </c>
      <c r="S79" s="314">
        <v>0</v>
      </c>
      <c r="T79" s="314">
        <v>0</v>
      </c>
      <c r="U79" s="314">
        <v>0.59363594573832346</v>
      </c>
      <c r="V79" s="315"/>
    </row>
    <row r="80" spans="1:23">
      <c r="A80" s="310"/>
      <c r="B80" s="316" t="s">
        <v>541</v>
      </c>
      <c r="C80" s="317">
        <v>-46.751468616693714</v>
      </c>
      <c r="D80" s="318">
        <v>0</v>
      </c>
      <c r="E80" s="318">
        <v>-8.8725420906594525</v>
      </c>
      <c r="F80" s="318">
        <v>0</v>
      </c>
      <c r="G80" s="318">
        <v>0</v>
      </c>
      <c r="H80" s="318">
        <v>0</v>
      </c>
      <c r="I80" s="318">
        <v>0</v>
      </c>
      <c r="J80" s="320">
        <v>-39.967571722896899</v>
      </c>
      <c r="K80" s="320">
        <v>0</v>
      </c>
      <c r="L80" s="318">
        <v>0</v>
      </c>
      <c r="M80" s="318">
        <v>-4.7153463872800172</v>
      </c>
      <c r="N80" s="318">
        <v>0</v>
      </c>
      <c r="O80" s="320">
        <v>-4.7153463872800172</v>
      </c>
      <c r="P80" s="320">
        <v>0</v>
      </c>
      <c r="Q80" s="318">
        <v>0</v>
      </c>
      <c r="R80" s="320">
        <v>0</v>
      </c>
      <c r="S80" s="320">
        <v>0</v>
      </c>
      <c r="T80" s="320">
        <v>0</v>
      </c>
      <c r="U80" s="320">
        <v>-31.010082604499257</v>
      </c>
      <c r="V80" s="315"/>
    </row>
    <row r="81" spans="1:22">
      <c r="A81" s="310"/>
      <c r="B81" s="55" t="s">
        <v>542</v>
      </c>
      <c r="C81" s="307">
        <v>0</v>
      </c>
      <c r="D81" s="308">
        <v>0</v>
      </c>
      <c r="E81" s="308">
        <v>0</v>
      </c>
      <c r="F81" s="308">
        <v>0</v>
      </c>
      <c r="G81" s="308">
        <v>0</v>
      </c>
      <c r="H81" s="308">
        <v>0</v>
      </c>
      <c r="I81" s="308">
        <v>0</v>
      </c>
      <c r="J81" s="309">
        <v>0</v>
      </c>
      <c r="K81" s="309">
        <v>0</v>
      </c>
      <c r="L81" s="308">
        <v>0</v>
      </c>
      <c r="M81" s="308">
        <v>0</v>
      </c>
      <c r="N81" s="308">
        <v>0</v>
      </c>
      <c r="O81" s="309">
        <v>0</v>
      </c>
      <c r="P81" s="309">
        <v>0</v>
      </c>
      <c r="Q81" s="308">
        <v>0</v>
      </c>
      <c r="R81" s="309">
        <v>0</v>
      </c>
      <c r="S81" s="309">
        <v>0</v>
      </c>
      <c r="T81" s="309">
        <v>0</v>
      </c>
      <c r="U81" s="309">
        <v>0</v>
      </c>
      <c r="V81" s="315"/>
    </row>
    <row r="82" spans="1:22">
      <c r="A82" s="310"/>
      <c r="B82" s="311" t="s">
        <v>543</v>
      </c>
      <c r="C82" s="312">
        <v>0</v>
      </c>
      <c r="D82" s="313">
        <v>0</v>
      </c>
      <c r="E82" s="313">
        <v>0</v>
      </c>
      <c r="F82" s="313">
        <v>0</v>
      </c>
      <c r="G82" s="313">
        <v>0</v>
      </c>
      <c r="H82" s="313">
        <v>0</v>
      </c>
      <c r="I82" s="313">
        <v>0</v>
      </c>
      <c r="J82" s="314">
        <v>0</v>
      </c>
      <c r="K82" s="314">
        <v>0</v>
      </c>
      <c r="L82" s="313">
        <v>0</v>
      </c>
      <c r="M82" s="313">
        <v>0</v>
      </c>
      <c r="N82" s="313">
        <v>0</v>
      </c>
      <c r="O82" s="314">
        <v>0</v>
      </c>
      <c r="P82" s="314">
        <v>0</v>
      </c>
      <c r="Q82" s="313">
        <v>0</v>
      </c>
      <c r="R82" s="314">
        <v>0</v>
      </c>
      <c r="S82" s="314">
        <v>0</v>
      </c>
      <c r="T82" s="314">
        <v>0</v>
      </c>
      <c r="U82" s="314">
        <v>0</v>
      </c>
      <c r="V82" s="315"/>
    </row>
    <row r="83" spans="1:22">
      <c r="A83" s="310"/>
      <c r="B83" s="316" t="s">
        <v>544</v>
      </c>
      <c r="C83" s="317">
        <v>0</v>
      </c>
      <c r="D83" s="318">
        <v>0</v>
      </c>
      <c r="E83" s="318">
        <v>0</v>
      </c>
      <c r="F83" s="318">
        <v>0</v>
      </c>
      <c r="G83" s="318">
        <v>0</v>
      </c>
      <c r="H83" s="318">
        <v>0</v>
      </c>
      <c r="I83" s="318">
        <v>0</v>
      </c>
      <c r="J83" s="320">
        <v>0</v>
      </c>
      <c r="K83" s="320">
        <v>0</v>
      </c>
      <c r="L83" s="318">
        <v>0</v>
      </c>
      <c r="M83" s="318">
        <v>0</v>
      </c>
      <c r="N83" s="318">
        <v>0</v>
      </c>
      <c r="O83" s="320">
        <v>0</v>
      </c>
      <c r="P83" s="320">
        <v>0</v>
      </c>
      <c r="Q83" s="318">
        <v>0</v>
      </c>
      <c r="R83" s="320">
        <v>0</v>
      </c>
      <c r="S83" s="320">
        <v>0</v>
      </c>
      <c r="T83" s="320">
        <v>0</v>
      </c>
      <c r="U83" s="320">
        <v>0</v>
      </c>
      <c r="V83" s="315"/>
    </row>
    <row r="84" spans="1:22">
      <c r="A84" s="310"/>
      <c r="B84" s="55" t="s">
        <v>545</v>
      </c>
      <c r="C84" s="307">
        <v>4.1687594173782018E-2</v>
      </c>
      <c r="D84" s="308">
        <v>0</v>
      </c>
      <c r="E84" s="308">
        <v>0.11831146427707223</v>
      </c>
      <c r="F84" s="308">
        <v>0</v>
      </c>
      <c r="G84" s="308">
        <v>0</v>
      </c>
      <c r="H84" s="308">
        <v>0</v>
      </c>
      <c r="I84" s="308">
        <v>0</v>
      </c>
      <c r="J84" s="309">
        <v>5.5182691276625583E-2</v>
      </c>
      <c r="K84" s="309">
        <v>0</v>
      </c>
      <c r="L84" s="308">
        <v>0</v>
      </c>
      <c r="M84" s="308">
        <v>0.2061034616820703</v>
      </c>
      <c r="N84" s="308">
        <v>0</v>
      </c>
      <c r="O84" s="309">
        <v>0.2061034616820703</v>
      </c>
      <c r="P84" s="309">
        <v>0</v>
      </c>
      <c r="Q84" s="308">
        <v>0</v>
      </c>
      <c r="R84" s="309">
        <v>0</v>
      </c>
      <c r="S84" s="309">
        <v>0</v>
      </c>
      <c r="T84" s="309">
        <v>0</v>
      </c>
      <c r="U84" s="309">
        <v>9.4898747858819341E-2</v>
      </c>
      <c r="V84" s="315"/>
    </row>
    <row r="85" spans="1:22">
      <c r="A85" s="310"/>
      <c r="B85" s="311" t="s">
        <v>546</v>
      </c>
      <c r="C85" s="312">
        <v>0.50920228034071913</v>
      </c>
      <c r="D85" s="313">
        <v>0</v>
      </c>
      <c r="E85" s="313">
        <v>0.20703688518366664</v>
      </c>
      <c r="F85" s="313">
        <v>0</v>
      </c>
      <c r="G85" s="313">
        <v>0</v>
      </c>
      <c r="H85" s="313">
        <v>0</v>
      </c>
      <c r="I85" s="313">
        <v>0</v>
      </c>
      <c r="J85" s="314">
        <v>0.45485840850559456</v>
      </c>
      <c r="K85" s="314">
        <v>0</v>
      </c>
      <c r="L85" s="313">
        <v>0</v>
      </c>
      <c r="M85" s="313">
        <v>0.24750396741099878</v>
      </c>
      <c r="N85" s="313">
        <v>0</v>
      </c>
      <c r="O85" s="314">
        <v>0.24750396741099878</v>
      </c>
      <c r="P85" s="314">
        <v>0</v>
      </c>
      <c r="Q85" s="313">
        <v>0</v>
      </c>
      <c r="R85" s="314">
        <v>0</v>
      </c>
      <c r="S85" s="314">
        <v>0</v>
      </c>
      <c r="T85" s="314">
        <v>0</v>
      </c>
      <c r="U85" s="314">
        <v>0.40366351672513034</v>
      </c>
      <c r="V85" s="315"/>
    </row>
    <row r="86" spans="1:22">
      <c r="A86" s="310"/>
      <c r="B86" s="316" t="s">
        <v>547</v>
      </c>
      <c r="C86" s="317">
        <v>46.751468616693707</v>
      </c>
      <c r="D86" s="318">
        <v>0</v>
      </c>
      <c r="E86" s="318">
        <v>8.8725420906594401</v>
      </c>
      <c r="F86" s="318">
        <v>0</v>
      </c>
      <c r="G86" s="318">
        <v>0</v>
      </c>
      <c r="H86" s="318">
        <v>0</v>
      </c>
      <c r="I86" s="318">
        <v>0</v>
      </c>
      <c r="J86" s="320">
        <v>39.967571722896899</v>
      </c>
      <c r="K86" s="320">
        <v>0</v>
      </c>
      <c r="L86" s="318">
        <v>0</v>
      </c>
      <c r="M86" s="318">
        <v>4.1400505728928474</v>
      </c>
      <c r="N86" s="318">
        <v>0</v>
      </c>
      <c r="O86" s="320">
        <v>4.1400505728928474</v>
      </c>
      <c r="P86" s="320">
        <v>0</v>
      </c>
      <c r="Q86" s="318">
        <v>0</v>
      </c>
      <c r="R86" s="320">
        <v>0</v>
      </c>
      <c r="S86" s="320">
        <v>0</v>
      </c>
      <c r="T86" s="320">
        <v>0</v>
      </c>
      <c r="U86" s="320">
        <v>30.876476886631099</v>
      </c>
      <c r="V86" s="315"/>
    </row>
    <row r="87" spans="1:22">
      <c r="A87" s="310"/>
      <c r="B87" s="55" t="s">
        <v>548</v>
      </c>
      <c r="C87" s="307">
        <v>0</v>
      </c>
      <c r="D87" s="308">
        <v>0</v>
      </c>
      <c r="E87" s="308">
        <v>0</v>
      </c>
      <c r="F87" s="308">
        <v>0</v>
      </c>
      <c r="G87" s="308">
        <v>0</v>
      </c>
      <c r="H87" s="308">
        <v>0</v>
      </c>
      <c r="I87" s="308">
        <v>0</v>
      </c>
      <c r="J87" s="309">
        <v>0</v>
      </c>
      <c r="K87" s="309">
        <v>0</v>
      </c>
      <c r="L87" s="308">
        <v>0</v>
      </c>
      <c r="M87" s="308">
        <v>3.3296508293332613E-3</v>
      </c>
      <c r="N87" s="308">
        <v>0</v>
      </c>
      <c r="O87" s="309">
        <v>3.3296508293332613E-3</v>
      </c>
      <c r="P87" s="309">
        <v>0</v>
      </c>
      <c r="Q87" s="308">
        <v>0</v>
      </c>
      <c r="R87" s="309">
        <v>0</v>
      </c>
      <c r="S87" s="309">
        <v>0</v>
      </c>
      <c r="T87" s="309">
        <v>0</v>
      </c>
      <c r="U87" s="309">
        <v>8.7622532260793018E-4</v>
      </c>
      <c r="V87" s="315"/>
    </row>
    <row r="88" spans="1:22">
      <c r="A88" s="310"/>
      <c r="B88" s="311" t="s">
        <v>549</v>
      </c>
      <c r="C88" s="312">
        <v>0</v>
      </c>
      <c r="D88" s="313">
        <v>0</v>
      </c>
      <c r="E88" s="313">
        <v>0</v>
      </c>
      <c r="F88" s="313">
        <v>0</v>
      </c>
      <c r="G88" s="313">
        <v>0</v>
      </c>
      <c r="H88" s="313">
        <v>0</v>
      </c>
      <c r="I88" s="313">
        <v>0</v>
      </c>
      <c r="J88" s="314">
        <v>0</v>
      </c>
      <c r="K88" s="314">
        <v>0</v>
      </c>
      <c r="L88" s="313">
        <v>0</v>
      </c>
      <c r="M88" s="313">
        <v>4.0777904124024806E-3</v>
      </c>
      <c r="N88" s="313">
        <v>0</v>
      </c>
      <c r="O88" s="314">
        <v>4.0777904124024806E-3</v>
      </c>
      <c r="P88" s="314">
        <v>0</v>
      </c>
      <c r="Q88" s="313">
        <v>0</v>
      </c>
      <c r="R88" s="314">
        <v>0</v>
      </c>
      <c r="S88" s="314">
        <v>0</v>
      </c>
      <c r="T88" s="314">
        <v>0</v>
      </c>
      <c r="U88" s="314">
        <v>1.0067883656811659E-3</v>
      </c>
      <c r="V88" s="315"/>
    </row>
    <row r="89" spans="1:22">
      <c r="A89" s="310"/>
      <c r="B89" s="316" t="s">
        <v>550</v>
      </c>
      <c r="C89" s="317">
        <v>0</v>
      </c>
      <c r="D89" s="318">
        <v>0</v>
      </c>
      <c r="E89" s="318">
        <v>0</v>
      </c>
      <c r="F89" s="318">
        <v>0</v>
      </c>
      <c r="G89" s="318">
        <v>0</v>
      </c>
      <c r="H89" s="318">
        <v>0</v>
      </c>
      <c r="I89" s="318">
        <v>0</v>
      </c>
      <c r="J89" s="320">
        <v>0</v>
      </c>
      <c r="K89" s="320">
        <v>0</v>
      </c>
      <c r="L89" s="318">
        <v>0</v>
      </c>
      <c r="M89" s="318">
        <v>7.4813958306921932E-2</v>
      </c>
      <c r="N89" s="318">
        <v>0</v>
      </c>
      <c r="O89" s="320">
        <v>7.4813958306921932E-2</v>
      </c>
      <c r="P89" s="320">
        <v>0</v>
      </c>
      <c r="Q89" s="318">
        <v>0</v>
      </c>
      <c r="R89" s="320">
        <v>0</v>
      </c>
      <c r="S89" s="320">
        <v>0</v>
      </c>
      <c r="T89" s="320">
        <v>0</v>
      </c>
      <c r="U89" s="320">
        <v>1.3056304307323572E-2</v>
      </c>
      <c r="V89" s="315"/>
    </row>
    <row r="90" spans="1:22">
      <c r="A90" s="310"/>
      <c r="B90" s="55" t="s">
        <v>551</v>
      </c>
      <c r="C90" s="307">
        <v>0</v>
      </c>
      <c r="D90" s="308">
        <v>0</v>
      </c>
      <c r="E90" s="308">
        <v>0</v>
      </c>
      <c r="F90" s="308">
        <v>0</v>
      </c>
      <c r="G90" s="308">
        <v>0</v>
      </c>
      <c r="H90" s="308">
        <v>0</v>
      </c>
      <c r="I90" s="308">
        <v>0</v>
      </c>
      <c r="J90" s="309">
        <v>0</v>
      </c>
      <c r="K90" s="309">
        <v>0</v>
      </c>
      <c r="L90" s="308">
        <v>0</v>
      </c>
      <c r="M90" s="308">
        <v>1.8553661268654706E-3</v>
      </c>
      <c r="N90" s="308">
        <v>0</v>
      </c>
      <c r="O90" s="309">
        <v>1.8553661268654706E-3</v>
      </c>
      <c r="P90" s="309">
        <v>0</v>
      </c>
      <c r="Q90" s="308">
        <v>0</v>
      </c>
      <c r="R90" s="309">
        <v>0</v>
      </c>
      <c r="S90" s="309">
        <v>0</v>
      </c>
      <c r="T90" s="309">
        <v>0</v>
      </c>
      <c r="U90" s="309">
        <v>4.8825503525667323E-4</v>
      </c>
      <c r="V90" s="315"/>
    </row>
    <row r="91" spans="1:22">
      <c r="A91" s="310"/>
      <c r="B91" s="311" t="s">
        <v>552</v>
      </c>
      <c r="C91" s="312">
        <v>0</v>
      </c>
      <c r="D91" s="313">
        <v>0</v>
      </c>
      <c r="E91" s="313">
        <v>0</v>
      </c>
      <c r="F91" s="313">
        <v>0</v>
      </c>
      <c r="G91" s="313">
        <v>0</v>
      </c>
      <c r="H91" s="313">
        <v>0</v>
      </c>
      <c r="I91" s="313">
        <v>0</v>
      </c>
      <c r="J91" s="314">
        <v>0</v>
      </c>
      <c r="K91" s="314">
        <v>0</v>
      </c>
      <c r="L91" s="313">
        <v>0</v>
      </c>
      <c r="M91" s="313">
        <v>6.8601846876679123E-3</v>
      </c>
      <c r="N91" s="313">
        <v>0</v>
      </c>
      <c r="O91" s="314">
        <v>6.8601846876679123E-3</v>
      </c>
      <c r="P91" s="314">
        <v>0</v>
      </c>
      <c r="Q91" s="313">
        <v>0</v>
      </c>
      <c r="R91" s="314">
        <v>0</v>
      </c>
      <c r="S91" s="314">
        <v>0</v>
      </c>
      <c r="T91" s="314">
        <v>0</v>
      </c>
      <c r="U91" s="314">
        <v>1.6937491708650461E-3</v>
      </c>
      <c r="V91" s="315"/>
    </row>
    <row r="92" spans="1:22">
      <c r="A92" s="310"/>
      <c r="B92" s="316" t="s">
        <v>553</v>
      </c>
      <c r="C92" s="317">
        <v>0</v>
      </c>
      <c r="D92" s="318">
        <v>0</v>
      </c>
      <c r="E92" s="318">
        <v>0</v>
      </c>
      <c r="F92" s="318">
        <v>0</v>
      </c>
      <c r="G92" s="318">
        <v>0</v>
      </c>
      <c r="H92" s="318">
        <v>0</v>
      </c>
      <c r="I92" s="318">
        <v>0</v>
      </c>
      <c r="J92" s="320">
        <v>0</v>
      </c>
      <c r="K92" s="320">
        <v>0</v>
      </c>
      <c r="L92" s="318">
        <v>0</v>
      </c>
      <c r="M92" s="318">
        <v>0.5004818560802442</v>
      </c>
      <c r="N92" s="318">
        <v>0</v>
      </c>
      <c r="O92" s="320">
        <v>0.5004818560802442</v>
      </c>
      <c r="P92" s="320">
        <v>0</v>
      </c>
      <c r="Q92" s="318">
        <v>0</v>
      </c>
      <c r="R92" s="320">
        <v>0</v>
      </c>
      <c r="S92" s="320">
        <v>0</v>
      </c>
      <c r="T92" s="320">
        <v>0</v>
      </c>
      <c r="U92" s="320">
        <v>0.12054941356083729</v>
      </c>
      <c r="V92" s="315"/>
    </row>
    <row r="93" spans="1:22">
      <c r="A93" s="310"/>
      <c r="B93" s="55" t="s">
        <v>554</v>
      </c>
      <c r="C93" s="307">
        <v>0</v>
      </c>
      <c r="D93" s="308">
        <v>0</v>
      </c>
      <c r="E93" s="308">
        <v>0</v>
      </c>
      <c r="F93" s="308">
        <v>0</v>
      </c>
      <c r="G93" s="308">
        <v>0</v>
      </c>
      <c r="H93" s="308">
        <v>0</v>
      </c>
      <c r="I93" s="308">
        <v>0</v>
      </c>
      <c r="J93" s="309">
        <v>0</v>
      </c>
      <c r="K93" s="309">
        <v>0</v>
      </c>
      <c r="L93" s="308">
        <v>0</v>
      </c>
      <c r="M93" s="308">
        <v>0</v>
      </c>
      <c r="N93" s="308">
        <v>0</v>
      </c>
      <c r="O93" s="309">
        <v>0</v>
      </c>
      <c r="P93" s="309">
        <v>0</v>
      </c>
      <c r="Q93" s="308">
        <v>0</v>
      </c>
      <c r="R93" s="309">
        <v>0</v>
      </c>
      <c r="S93" s="309">
        <v>0</v>
      </c>
      <c r="T93" s="309">
        <v>0</v>
      </c>
      <c r="U93" s="309">
        <v>0</v>
      </c>
      <c r="V93" s="315"/>
    </row>
    <row r="94" spans="1:22">
      <c r="A94" s="310"/>
      <c r="B94" s="311" t="s">
        <v>555</v>
      </c>
      <c r="C94" s="312">
        <v>0</v>
      </c>
      <c r="D94" s="313">
        <v>0</v>
      </c>
      <c r="E94" s="313">
        <v>0</v>
      </c>
      <c r="F94" s="313">
        <v>0</v>
      </c>
      <c r="G94" s="313">
        <v>0</v>
      </c>
      <c r="H94" s="313">
        <v>0</v>
      </c>
      <c r="I94" s="313">
        <v>0</v>
      </c>
      <c r="J94" s="314">
        <v>0</v>
      </c>
      <c r="K94" s="314">
        <v>0</v>
      </c>
      <c r="L94" s="313">
        <v>0</v>
      </c>
      <c r="M94" s="313">
        <v>0</v>
      </c>
      <c r="N94" s="313">
        <v>0</v>
      </c>
      <c r="O94" s="314">
        <v>0</v>
      </c>
      <c r="P94" s="314">
        <v>0</v>
      </c>
      <c r="Q94" s="313">
        <v>0</v>
      </c>
      <c r="R94" s="314">
        <v>0</v>
      </c>
      <c r="S94" s="314">
        <v>0</v>
      </c>
      <c r="T94" s="314">
        <v>0</v>
      </c>
      <c r="U94" s="314">
        <v>0</v>
      </c>
      <c r="V94" s="315"/>
    </row>
    <row r="95" spans="1:22" ht="15" thickBot="1">
      <c r="A95" s="310"/>
      <c r="B95" s="322" t="s">
        <v>556</v>
      </c>
      <c r="C95" s="323">
        <v>0</v>
      </c>
      <c r="D95" s="324">
        <v>0</v>
      </c>
      <c r="E95" s="324">
        <v>0</v>
      </c>
      <c r="F95" s="324">
        <v>0</v>
      </c>
      <c r="G95" s="324">
        <v>0</v>
      </c>
      <c r="H95" s="324">
        <v>0</v>
      </c>
      <c r="I95" s="324">
        <v>0</v>
      </c>
      <c r="J95" s="325">
        <v>0</v>
      </c>
      <c r="K95" s="325">
        <v>0</v>
      </c>
      <c r="L95" s="324">
        <v>0</v>
      </c>
      <c r="M95" s="324">
        <v>0</v>
      </c>
      <c r="N95" s="324">
        <v>0</v>
      </c>
      <c r="O95" s="325">
        <v>0</v>
      </c>
      <c r="P95" s="325">
        <v>0</v>
      </c>
      <c r="Q95" s="324">
        <v>0</v>
      </c>
      <c r="R95" s="325">
        <v>0</v>
      </c>
      <c r="S95" s="325">
        <v>0</v>
      </c>
      <c r="T95" s="325">
        <v>0</v>
      </c>
      <c r="U95" s="325">
        <v>0</v>
      </c>
      <c r="V95" s="315"/>
    </row>
    <row r="96" spans="1:22" ht="15" thickTop="1">
      <c r="A96" s="310"/>
      <c r="B96" s="311" t="s">
        <v>557</v>
      </c>
      <c r="C96" s="312">
        <v>0.851156914893617</v>
      </c>
      <c r="D96" s="313">
        <v>0</v>
      </c>
      <c r="E96" s="313">
        <v>0.67651525610934693</v>
      </c>
      <c r="F96" s="313">
        <v>0</v>
      </c>
      <c r="G96" s="313">
        <v>0</v>
      </c>
      <c r="H96" s="313">
        <v>0</v>
      </c>
      <c r="I96" s="313">
        <v>0</v>
      </c>
      <c r="J96" s="314">
        <v>0.83581383501328188</v>
      </c>
      <c r="K96" s="314">
        <v>0</v>
      </c>
      <c r="L96" s="313">
        <v>0</v>
      </c>
      <c r="M96" s="313">
        <v>0</v>
      </c>
      <c r="N96" s="313">
        <v>0</v>
      </c>
      <c r="O96" s="314">
        <v>0</v>
      </c>
      <c r="P96" s="314">
        <v>0</v>
      </c>
      <c r="Q96" s="313">
        <v>0</v>
      </c>
      <c r="R96" s="314">
        <v>0</v>
      </c>
      <c r="S96" s="314">
        <v>0</v>
      </c>
      <c r="T96" s="314">
        <v>0</v>
      </c>
      <c r="U96" s="314">
        <v>0.83581383501328188</v>
      </c>
      <c r="V96" s="315"/>
    </row>
    <row r="97" spans="1:22">
      <c r="A97" s="310"/>
      <c r="B97" s="311" t="s">
        <v>558</v>
      </c>
      <c r="C97" s="312">
        <v>0.49689041389663308</v>
      </c>
      <c r="D97" s="313">
        <v>0</v>
      </c>
      <c r="E97" s="313">
        <v>0.54222792388283092</v>
      </c>
      <c r="F97" s="313">
        <v>0</v>
      </c>
      <c r="G97" s="313">
        <v>0</v>
      </c>
      <c r="H97" s="313">
        <v>0</v>
      </c>
      <c r="I97" s="313">
        <v>0</v>
      </c>
      <c r="J97" s="314">
        <v>0.50194135442223864</v>
      </c>
      <c r="K97" s="314">
        <v>0</v>
      </c>
      <c r="L97" s="313">
        <v>0</v>
      </c>
      <c r="M97" s="313">
        <v>0</v>
      </c>
      <c r="N97" s="313">
        <v>0</v>
      </c>
      <c r="O97" s="314">
        <v>0</v>
      </c>
      <c r="P97" s="314">
        <v>0</v>
      </c>
      <c r="Q97" s="313">
        <v>0</v>
      </c>
      <c r="R97" s="314">
        <v>0</v>
      </c>
      <c r="S97" s="314">
        <v>0</v>
      </c>
      <c r="T97" s="314">
        <v>0</v>
      </c>
      <c r="U97" s="314">
        <v>0.50194135442223864</v>
      </c>
      <c r="V97" s="315"/>
    </row>
    <row r="98" spans="1:22">
      <c r="A98" s="310"/>
      <c r="B98" s="316" t="s">
        <v>559</v>
      </c>
      <c r="C98" s="317">
        <v>-35.426650099698392</v>
      </c>
      <c r="D98" s="318">
        <v>0</v>
      </c>
      <c r="E98" s="318">
        <v>-13.428733222651601</v>
      </c>
      <c r="F98" s="318">
        <v>0</v>
      </c>
      <c r="G98" s="318">
        <v>0</v>
      </c>
      <c r="H98" s="318">
        <v>0</v>
      </c>
      <c r="I98" s="318">
        <v>0</v>
      </c>
      <c r="J98" s="320">
        <v>-33.387248059104323</v>
      </c>
      <c r="K98" s="320">
        <v>0</v>
      </c>
      <c r="L98" s="318">
        <v>0</v>
      </c>
      <c r="M98" s="318">
        <v>0</v>
      </c>
      <c r="N98" s="318">
        <v>0</v>
      </c>
      <c r="O98" s="320">
        <v>0</v>
      </c>
      <c r="P98" s="320">
        <v>0</v>
      </c>
      <c r="Q98" s="318">
        <v>0</v>
      </c>
      <c r="R98" s="320">
        <v>0</v>
      </c>
      <c r="S98" s="320">
        <v>0</v>
      </c>
      <c r="T98" s="320">
        <v>0</v>
      </c>
      <c r="U98" s="320">
        <v>-33.387248059104323</v>
      </c>
      <c r="V98" s="315"/>
    </row>
    <row r="99" spans="1:22">
      <c r="A99" s="310"/>
      <c r="B99" s="55" t="s">
        <v>560</v>
      </c>
      <c r="C99" s="307">
        <v>0</v>
      </c>
      <c r="D99" s="308">
        <v>0</v>
      </c>
      <c r="E99" s="308">
        <v>0</v>
      </c>
      <c r="F99" s="308">
        <v>0</v>
      </c>
      <c r="G99" s="308">
        <v>0</v>
      </c>
      <c r="H99" s="308">
        <v>0</v>
      </c>
      <c r="I99" s="308">
        <v>0</v>
      </c>
      <c r="J99" s="309">
        <v>0</v>
      </c>
      <c r="K99" s="309">
        <v>0</v>
      </c>
      <c r="L99" s="308">
        <v>0</v>
      </c>
      <c r="M99" s="308">
        <v>0</v>
      </c>
      <c r="N99" s="308">
        <v>0</v>
      </c>
      <c r="O99" s="309">
        <v>0</v>
      </c>
      <c r="P99" s="309">
        <v>0</v>
      </c>
      <c r="Q99" s="308">
        <v>0</v>
      </c>
      <c r="R99" s="309">
        <v>0</v>
      </c>
      <c r="S99" s="309">
        <v>0</v>
      </c>
      <c r="T99" s="309">
        <v>0</v>
      </c>
      <c r="U99" s="309">
        <v>0</v>
      </c>
      <c r="V99" s="315"/>
    </row>
    <row r="100" spans="1:22">
      <c r="A100" s="310"/>
      <c r="B100" s="311" t="s">
        <v>561</v>
      </c>
      <c r="C100" s="312">
        <v>0</v>
      </c>
      <c r="D100" s="313">
        <v>0</v>
      </c>
      <c r="E100" s="313">
        <v>0</v>
      </c>
      <c r="F100" s="313">
        <v>0</v>
      </c>
      <c r="G100" s="313">
        <v>0</v>
      </c>
      <c r="H100" s="313">
        <v>0</v>
      </c>
      <c r="I100" s="313">
        <v>0</v>
      </c>
      <c r="J100" s="314">
        <v>0</v>
      </c>
      <c r="K100" s="314">
        <v>0</v>
      </c>
      <c r="L100" s="313">
        <v>0</v>
      </c>
      <c r="M100" s="313">
        <v>0</v>
      </c>
      <c r="N100" s="313">
        <v>0</v>
      </c>
      <c r="O100" s="314">
        <v>0</v>
      </c>
      <c r="P100" s="314">
        <v>0</v>
      </c>
      <c r="Q100" s="313">
        <v>0</v>
      </c>
      <c r="R100" s="314">
        <v>0</v>
      </c>
      <c r="S100" s="314">
        <v>0</v>
      </c>
      <c r="T100" s="314">
        <v>0</v>
      </c>
      <c r="U100" s="314">
        <v>0</v>
      </c>
      <c r="V100" s="315"/>
    </row>
    <row r="101" spans="1:22">
      <c r="A101" s="310"/>
      <c r="B101" s="316" t="s">
        <v>562</v>
      </c>
      <c r="C101" s="317">
        <v>0</v>
      </c>
      <c r="D101" s="318">
        <v>0</v>
      </c>
      <c r="E101" s="318">
        <v>0</v>
      </c>
      <c r="F101" s="318">
        <v>0</v>
      </c>
      <c r="G101" s="318">
        <v>0</v>
      </c>
      <c r="H101" s="318">
        <v>0</v>
      </c>
      <c r="I101" s="318">
        <v>0</v>
      </c>
      <c r="J101" s="320">
        <v>0</v>
      </c>
      <c r="K101" s="320">
        <v>0</v>
      </c>
      <c r="L101" s="318">
        <v>0</v>
      </c>
      <c r="M101" s="318">
        <v>0</v>
      </c>
      <c r="N101" s="318">
        <v>0</v>
      </c>
      <c r="O101" s="320">
        <v>0</v>
      </c>
      <c r="P101" s="320">
        <v>0</v>
      </c>
      <c r="Q101" s="318">
        <v>0</v>
      </c>
      <c r="R101" s="320">
        <v>0</v>
      </c>
      <c r="S101" s="320">
        <v>0</v>
      </c>
      <c r="T101" s="320">
        <v>0</v>
      </c>
      <c r="U101" s="320">
        <v>0</v>
      </c>
      <c r="V101" s="315"/>
    </row>
    <row r="102" spans="1:22">
      <c r="A102" s="310"/>
      <c r="B102" s="55" t="s">
        <v>563</v>
      </c>
      <c r="C102" s="307">
        <v>0.14884308510638297</v>
      </c>
      <c r="D102" s="308">
        <v>0</v>
      </c>
      <c r="E102" s="308">
        <v>0.32348474389065307</v>
      </c>
      <c r="F102" s="308">
        <v>0</v>
      </c>
      <c r="G102" s="308">
        <v>0</v>
      </c>
      <c r="H102" s="308">
        <v>0</v>
      </c>
      <c r="I102" s="308">
        <v>0</v>
      </c>
      <c r="J102" s="309">
        <v>0.16418616498671809</v>
      </c>
      <c r="K102" s="309">
        <v>0</v>
      </c>
      <c r="L102" s="308">
        <v>0</v>
      </c>
      <c r="M102" s="308">
        <v>0</v>
      </c>
      <c r="N102" s="308">
        <v>0</v>
      </c>
      <c r="O102" s="309">
        <v>0</v>
      </c>
      <c r="P102" s="309">
        <v>0</v>
      </c>
      <c r="Q102" s="308">
        <v>0</v>
      </c>
      <c r="R102" s="309">
        <v>0</v>
      </c>
      <c r="S102" s="309">
        <v>0</v>
      </c>
      <c r="T102" s="309">
        <v>0</v>
      </c>
      <c r="U102" s="309">
        <v>0.16418616498671809</v>
      </c>
      <c r="V102" s="315"/>
    </row>
    <row r="103" spans="1:22">
      <c r="A103" s="310"/>
      <c r="B103" s="311" t="s">
        <v>564</v>
      </c>
      <c r="C103" s="312">
        <v>0.50310958610336698</v>
      </c>
      <c r="D103" s="313">
        <v>0</v>
      </c>
      <c r="E103" s="313">
        <v>0.45777207611716914</v>
      </c>
      <c r="F103" s="313">
        <v>0</v>
      </c>
      <c r="G103" s="313">
        <v>0</v>
      </c>
      <c r="H103" s="313">
        <v>0</v>
      </c>
      <c r="I103" s="313">
        <v>0</v>
      </c>
      <c r="J103" s="314">
        <v>0.49805864557776136</v>
      </c>
      <c r="K103" s="314">
        <v>0</v>
      </c>
      <c r="L103" s="313">
        <v>0</v>
      </c>
      <c r="M103" s="313">
        <v>0</v>
      </c>
      <c r="N103" s="313">
        <v>0</v>
      </c>
      <c r="O103" s="314">
        <v>0</v>
      </c>
      <c r="P103" s="314">
        <v>0</v>
      </c>
      <c r="Q103" s="313">
        <v>0</v>
      </c>
      <c r="R103" s="314">
        <v>0</v>
      </c>
      <c r="S103" s="314">
        <v>0</v>
      </c>
      <c r="T103" s="314">
        <v>0</v>
      </c>
      <c r="U103" s="314">
        <v>0.49805864557776136</v>
      </c>
      <c r="V103" s="315"/>
    </row>
    <row r="104" spans="1:22">
      <c r="A104" s="310"/>
      <c r="B104" s="316" t="s">
        <v>565</v>
      </c>
      <c r="C104" s="317">
        <v>35.426650099698399</v>
      </c>
      <c r="D104" s="318">
        <v>0</v>
      </c>
      <c r="E104" s="318">
        <v>13.428733222651607</v>
      </c>
      <c r="F104" s="318">
        <v>0</v>
      </c>
      <c r="G104" s="318">
        <v>0</v>
      </c>
      <c r="H104" s="318">
        <v>0</v>
      </c>
      <c r="I104" s="318">
        <v>0</v>
      </c>
      <c r="J104" s="320">
        <v>33.387248059104323</v>
      </c>
      <c r="K104" s="320">
        <v>0</v>
      </c>
      <c r="L104" s="318">
        <v>0</v>
      </c>
      <c r="M104" s="318">
        <v>0</v>
      </c>
      <c r="N104" s="318">
        <v>0</v>
      </c>
      <c r="O104" s="320">
        <v>0</v>
      </c>
      <c r="P104" s="320">
        <v>0</v>
      </c>
      <c r="Q104" s="318">
        <v>0</v>
      </c>
      <c r="R104" s="320">
        <v>0</v>
      </c>
      <c r="S104" s="320">
        <v>0</v>
      </c>
      <c r="T104" s="320">
        <v>0</v>
      </c>
      <c r="U104" s="320">
        <v>33.387248059104323</v>
      </c>
      <c r="V104" s="315"/>
    </row>
    <row r="105" spans="1:22">
      <c r="A105" s="310"/>
      <c r="B105" s="55" t="s">
        <v>566</v>
      </c>
      <c r="C105" s="307">
        <v>0</v>
      </c>
      <c r="D105" s="308">
        <v>0</v>
      </c>
      <c r="E105" s="308">
        <v>0</v>
      </c>
      <c r="F105" s="308">
        <v>0</v>
      </c>
      <c r="G105" s="308">
        <v>0</v>
      </c>
      <c r="H105" s="308">
        <v>0</v>
      </c>
      <c r="I105" s="308">
        <v>0</v>
      </c>
      <c r="J105" s="309">
        <v>0</v>
      </c>
      <c r="K105" s="309">
        <v>0</v>
      </c>
      <c r="L105" s="308">
        <v>0</v>
      </c>
      <c r="M105" s="308">
        <v>0</v>
      </c>
      <c r="N105" s="308">
        <v>0</v>
      </c>
      <c r="O105" s="309">
        <v>0</v>
      </c>
      <c r="P105" s="309">
        <v>0</v>
      </c>
      <c r="Q105" s="308">
        <v>0</v>
      </c>
      <c r="R105" s="309">
        <v>0</v>
      </c>
      <c r="S105" s="309">
        <v>0</v>
      </c>
      <c r="T105" s="309">
        <v>0</v>
      </c>
      <c r="U105" s="309">
        <v>0</v>
      </c>
      <c r="V105" s="315"/>
    </row>
    <row r="106" spans="1:22">
      <c r="A106" s="310"/>
      <c r="B106" s="311" t="s">
        <v>567</v>
      </c>
      <c r="C106" s="312">
        <v>0</v>
      </c>
      <c r="D106" s="313">
        <v>0</v>
      </c>
      <c r="E106" s="313">
        <v>0</v>
      </c>
      <c r="F106" s="313">
        <v>0</v>
      </c>
      <c r="G106" s="313">
        <v>0</v>
      </c>
      <c r="H106" s="313">
        <v>0</v>
      </c>
      <c r="I106" s="313">
        <v>0</v>
      </c>
      <c r="J106" s="314">
        <v>0</v>
      </c>
      <c r="K106" s="314">
        <v>0</v>
      </c>
      <c r="L106" s="313">
        <v>0</v>
      </c>
      <c r="M106" s="313">
        <v>0</v>
      </c>
      <c r="N106" s="313">
        <v>0</v>
      </c>
      <c r="O106" s="314">
        <v>0</v>
      </c>
      <c r="P106" s="314">
        <v>0</v>
      </c>
      <c r="Q106" s="313">
        <v>0</v>
      </c>
      <c r="R106" s="314">
        <v>0</v>
      </c>
      <c r="S106" s="314">
        <v>0</v>
      </c>
      <c r="T106" s="314">
        <v>0</v>
      </c>
      <c r="U106" s="314">
        <v>0</v>
      </c>
      <c r="V106" s="315"/>
    </row>
    <row r="107" spans="1:22">
      <c r="A107" s="310"/>
      <c r="B107" s="316" t="s">
        <v>568</v>
      </c>
      <c r="C107" s="317">
        <v>0</v>
      </c>
      <c r="D107" s="318">
        <v>0</v>
      </c>
      <c r="E107" s="318">
        <v>0</v>
      </c>
      <c r="F107" s="318">
        <v>0</v>
      </c>
      <c r="G107" s="318">
        <v>0</v>
      </c>
      <c r="H107" s="318">
        <v>0</v>
      </c>
      <c r="I107" s="318">
        <v>0</v>
      </c>
      <c r="J107" s="320">
        <v>0</v>
      </c>
      <c r="K107" s="320">
        <v>0</v>
      </c>
      <c r="L107" s="318">
        <v>0</v>
      </c>
      <c r="M107" s="318">
        <v>0</v>
      </c>
      <c r="N107" s="318">
        <v>0</v>
      </c>
      <c r="O107" s="320">
        <v>0</v>
      </c>
      <c r="P107" s="320">
        <v>0</v>
      </c>
      <c r="Q107" s="318">
        <v>0</v>
      </c>
      <c r="R107" s="320">
        <v>0</v>
      </c>
      <c r="S107" s="320">
        <v>0</v>
      </c>
      <c r="T107" s="320">
        <v>0</v>
      </c>
      <c r="U107" s="320">
        <v>0</v>
      </c>
      <c r="V107" s="315"/>
    </row>
    <row r="108" spans="1:22">
      <c r="A108" s="310"/>
      <c r="B108" s="55" t="s">
        <v>569</v>
      </c>
      <c r="C108" s="307">
        <v>0</v>
      </c>
      <c r="D108" s="308">
        <v>0</v>
      </c>
      <c r="E108" s="308">
        <v>0</v>
      </c>
      <c r="F108" s="308">
        <v>0</v>
      </c>
      <c r="G108" s="308">
        <v>0</v>
      </c>
      <c r="H108" s="308">
        <v>0</v>
      </c>
      <c r="I108" s="308">
        <v>0</v>
      </c>
      <c r="J108" s="309">
        <v>0</v>
      </c>
      <c r="K108" s="309">
        <v>0</v>
      </c>
      <c r="L108" s="308">
        <v>0</v>
      </c>
      <c r="M108" s="308">
        <v>0</v>
      </c>
      <c r="N108" s="308">
        <v>0</v>
      </c>
      <c r="O108" s="309">
        <v>0</v>
      </c>
      <c r="P108" s="309">
        <v>0</v>
      </c>
      <c r="Q108" s="308">
        <v>0</v>
      </c>
      <c r="R108" s="309">
        <v>0</v>
      </c>
      <c r="S108" s="309">
        <v>0</v>
      </c>
      <c r="T108" s="309">
        <v>0</v>
      </c>
      <c r="U108" s="309">
        <v>0</v>
      </c>
      <c r="V108" s="315"/>
    </row>
    <row r="109" spans="1:22">
      <c r="A109" s="310"/>
      <c r="B109" s="311" t="s">
        <v>570</v>
      </c>
      <c r="C109" s="312">
        <v>0</v>
      </c>
      <c r="D109" s="313">
        <v>0</v>
      </c>
      <c r="E109" s="313">
        <v>0</v>
      </c>
      <c r="F109" s="313">
        <v>0</v>
      </c>
      <c r="G109" s="313">
        <v>0</v>
      </c>
      <c r="H109" s="313">
        <v>0</v>
      </c>
      <c r="I109" s="313">
        <v>0</v>
      </c>
      <c r="J109" s="314">
        <v>0</v>
      </c>
      <c r="K109" s="314">
        <v>0</v>
      </c>
      <c r="L109" s="313">
        <v>0</v>
      </c>
      <c r="M109" s="313">
        <v>0</v>
      </c>
      <c r="N109" s="313">
        <v>0</v>
      </c>
      <c r="O109" s="314">
        <v>0</v>
      </c>
      <c r="P109" s="314">
        <v>0</v>
      </c>
      <c r="Q109" s="313">
        <v>0</v>
      </c>
      <c r="R109" s="314">
        <v>0</v>
      </c>
      <c r="S109" s="314">
        <v>0</v>
      </c>
      <c r="T109" s="314">
        <v>0</v>
      </c>
      <c r="U109" s="314">
        <v>0</v>
      </c>
      <c r="V109" s="315"/>
    </row>
    <row r="110" spans="1:22">
      <c r="A110" s="310"/>
      <c r="B110" s="316" t="s">
        <v>571</v>
      </c>
      <c r="C110" s="317">
        <v>0</v>
      </c>
      <c r="D110" s="318">
        <v>0</v>
      </c>
      <c r="E110" s="318">
        <v>0</v>
      </c>
      <c r="F110" s="318">
        <v>0</v>
      </c>
      <c r="G110" s="318">
        <v>0</v>
      </c>
      <c r="H110" s="318">
        <v>0</v>
      </c>
      <c r="I110" s="318">
        <v>0</v>
      </c>
      <c r="J110" s="320">
        <v>0</v>
      </c>
      <c r="K110" s="320">
        <v>0</v>
      </c>
      <c r="L110" s="318">
        <v>0</v>
      </c>
      <c r="M110" s="318">
        <v>0</v>
      </c>
      <c r="N110" s="318">
        <v>0</v>
      </c>
      <c r="O110" s="320">
        <v>0</v>
      </c>
      <c r="P110" s="320">
        <v>0</v>
      </c>
      <c r="Q110" s="318">
        <v>0</v>
      </c>
      <c r="R110" s="320">
        <v>0</v>
      </c>
      <c r="S110" s="320">
        <v>0</v>
      </c>
      <c r="T110" s="320">
        <v>0</v>
      </c>
      <c r="U110" s="320">
        <v>0</v>
      </c>
      <c r="V110" s="315"/>
    </row>
    <row r="111" spans="1:22">
      <c r="A111" s="310"/>
      <c r="B111" s="55" t="s">
        <v>572</v>
      </c>
      <c r="C111" s="307">
        <v>0</v>
      </c>
      <c r="D111" s="308">
        <v>0</v>
      </c>
      <c r="E111" s="308">
        <v>0</v>
      </c>
      <c r="F111" s="308">
        <v>0</v>
      </c>
      <c r="G111" s="308">
        <v>0</v>
      </c>
      <c r="H111" s="308">
        <v>0</v>
      </c>
      <c r="I111" s="308">
        <v>0</v>
      </c>
      <c r="J111" s="309">
        <v>0</v>
      </c>
      <c r="K111" s="309">
        <v>0</v>
      </c>
      <c r="L111" s="308">
        <v>0</v>
      </c>
      <c r="M111" s="308">
        <v>0</v>
      </c>
      <c r="N111" s="308">
        <v>0</v>
      </c>
      <c r="O111" s="309">
        <v>0</v>
      </c>
      <c r="P111" s="309">
        <v>0</v>
      </c>
      <c r="Q111" s="308">
        <v>0</v>
      </c>
      <c r="R111" s="309">
        <v>0</v>
      </c>
      <c r="S111" s="309">
        <v>0</v>
      </c>
      <c r="T111" s="309">
        <v>0</v>
      </c>
      <c r="U111" s="309">
        <v>0</v>
      </c>
      <c r="V111" s="315"/>
    </row>
    <row r="112" spans="1:22">
      <c r="A112" s="310"/>
      <c r="B112" s="311" t="s">
        <v>573</v>
      </c>
      <c r="C112" s="312">
        <v>0</v>
      </c>
      <c r="D112" s="313">
        <v>0</v>
      </c>
      <c r="E112" s="313">
        <v>0</v>
      </c>
      <c r="F112" s="313">
        <v>0</v>
      </c>
      <c r="G112" s="313">
        <v>0</v>
      </c>
      <c r="H112" s="313">
        <v>0</v>
      </c>
      <c r="I112" s="313">
        <v>0</v>
      </c>
      <c r="J112" s="314">
        <v>0</v>
      </c>
      <c r="K112" s="314">
        <v>0</v>
      </c>
      <c r="L112" s="313">
        <v>0</v>
      </c>
      <c r="M112" s="313">
        <v>0</v>
      </c>
      <c r="N112" s="313">
        <v>0</v>
      </c>
      <c r="O112" s="314">
        <v>0</v>
      </c>
      <c r="P112" s="314">
        <v>0</v>
      </c>
      <c r="Q112" s="313">
        <v>0</v>
      </c>
      <c r="R112" s="314">
        <v>0</v>
      </c>
      <c r="S112" s="314">
        <v>0</v>
      </c>
      <c r="T112" s="314">
        <v>0</v>
      </c>
      <c r="U112" s="314">
        <v>0</v>
      </c>
      <c r="V112" s="315"/>
    </row>
    <row r="113" spans="1:22" ht="15" thickBot="1">
      <c r="A113" s="326"/>
      <c r="B113" s="327" t="s">
        <v>574</v>
      </c>
      <c r="C113" s="328">
        <v>0</v>
      </c>
      <c r="D113" s="329">
        <v>0</v>
      </c>
      <c r="E113" s="329">
        <v>0</v>
      </c>
      <c r="F113" s="329">
        <v>0</v>
      </c>
      <c r="G113" s="329">
        <v>0</v>
      </c>
      <c r="H113" s="329">
        <v>0</v>
      </c>
      <c r="I113" s="329">
        <v>0</v>
      </c>
      <c r="J113" s="330">
        <v>0</v>
      </c>
      <c r="K113" s="330">
        <v>0</v>
      </c>
      <c r="L113" s="329">
        <v>0</v>
      </c>
      <c r="M113" s="329">
        <v>0</v>
      </c>
      <c r="N113" s="329">
        <v>0</v>
      </c>
      <c r="O113" s="330">
        <v>0</v>
      </c>
      <c r="P113" s="330">
        <v>0</v>
      </c>
      <c r="Q113" s="329">
        <v>0</v>
      </c>
      <c r="R113" s="330">
        <v>0</v>
      </c>
      <c r="S113" s="330">
        <v>0</v>
      </c>
      <c r="T113" s="330">
        <v>0</v>
      </c>
      <c r="U113" s="330">
        <v>0</v>
      </c>
      <c r="V113" s="315"/>
    </row>
    <row r="114" spans="1:22">
      <c r="A114" s="306" t="s">
        <v>114</v>
      </c>
      <c r="B114" s="55" t="s">
        <v>539</v>
      </c>
      <c r="C114" s="307">
        <v>0</v>
      </c>
      <c r="D114" s="308">
        <v>0</v>
      </c>
      <c r="E114" s="308">
        <v>0</v>
      </c>
      <c r="F114" s="308">
        <v>0</v>
      </c>
      <c r="G114" s="308">
        <v>0</v>
      </c>
      <c r="H114" s="308">
        <v>0</v>
      </c>
      <c r="I114" s="308">
        <v>0</v>
      </c>
      <c r="J114" s="309">
        <v>0</v>
      </c>
      <c r="K114" s="309">
        <v>0.67088731462459705</v>
      </c>
      <c r="L114" s="308">
        <v>0.6108175571879122</v>
      </c>
      <c r="M114" s="308">
        <v>0</v>
      </c>
      <c r="N114" s="308">
        <v>0.61529893212582032</v>
      </c>
      <c r="O114" s="309">
        <v>0.66502768976443039</v>
      </c>
      <c r="P114" s="309">
        <v>0</v>
      </c>
      <c r="Q114" s="308">
        <v>0</v>
      </c>
      <c r="R114" s="309">
        <v>0</v>
      </c>
      <c r="S114" s="309">
        <v>0</v>
      </c>
      <c r="T114" s="309">
        <v>0</v>
      </c>
      <c r="U114" s="309">
        <v>0.66502768976443039</v>
      </c>
      <c r="V114" s="315"/>
    </row>
    <row r="115" spans="1:22">
      <c r="A115" s="310"/>
      <c r="B115" s="311" t="s">
        <v>540</v>
      </c>
      <c r="C115" s="312">
        <v>0</v>
      </c>
      <c r="D115" s="313">
        <v>0</v>
      </c>
      <c r="E115" s="313">
        <v>0</v>
      </c>
      <c r="F115" s="313">
        <v>0</v>
      </c>
      <c r="G115" s="313">
        <v>0</v>
      </c>
      <c r="H115" s="313">
        <v>0</v>
      </c>
      <c r="I115" s="313">
        <v>0</v>
      </c>
      <c r="J115" s="314">
        <v>0</v>
      </c>
      <c r="K115" s="314">
        <v>0.36206881033365657</v>
      </c>
      <c r="L115" s="313">
        <v>0.31194785856391355</v>
      </c>
      <c r="M115" s="313">
        <v>0</v>
      </c>
      <c r="N115" s="313">
        <v>0.39378129240559639</v>
      </c>
      <c r="O115" s="314">
        <v>0.35753081611492449</v>
      </c>
      <c r="P115" s="314">
        <v>0</v>
      </c>
      <c r="Q115" s="313">
        <v>0</v>
      </c>
      <c r="R115" s="314">
        <v>0</v>
      </c>
      <c r="S115" s="314">
        <v>0</v>
      </c>
      <c r="T115" s="314">
        <v>0</v>
      </c>
      <c r="U115" s="314">
        <v>0.35753081611492449</v>
      </c>
      <c r="V115" s="315"/>
    </row>
    <row r="116" spans="1:22">
      <c r="A116" s="310"/>
      <c r="B116" s="316" t="s">
        <v>541</v>
      </c>
      <c r="C116" s="317">
        <v>0</v>
      </c>
      <c r="D116" s="318">
        <v>0</v>
      </c>
      <c r="E116" s="318">
        <v>0</v>
      </c>
      <c r="F116" s="318">
        <v>0</v>
      </c>
      <c r="G116" s="318">
        <v>0</v>
      </c>
      <c r="H116" s="318">
        <v>0</v>
      </c>
      <c r="I116" s="318">
        <v>0</v>
      </c>
      <c r="J116" s="320">
        <v>0</v>
      </c>
      <c r="K116" s="320">
        <v>-30.881850429094047</v>
      </c>
      <c r="L116" s="318">
        <v>-29.886969862399866</v>
      </c>
      <c r="M116" s="318">
        <v>0</v>
      </c>
      <c r="N116" s="318">
        <v>-22.151763972022394</v>
      </c>
      <c r="O116" s="320">
        <v>-30.749687364950589</v>
      </c>
      <c r="P116" s="320">
        <v>0</v>
      </c>
      <c r="Q116" s="318">
        <v>0</v>
      </c>
      <c r="R116" s="320">
        <v>0</v>
      </c>
      <c r="S116" s="320">
        <v>0</v>
      </c>
      <c r="T116" s="320">
        <v>0</v>
      </c>
      <c r="U116" s="320">
        <v>-30.749687364950589</v>
      </c>
      <c r="V116" s="315"/>
    </row>
    <row r="117" spans="1:22">
      <c r="A117" s="310"/>
      <c r="B117" s="55" t="s">
        <v>542</v>
      </c>
      <c r="C117" s="307">
        <v>0</v>
      </c>
      <c r="D117" s="308">
        <v>0</v>
      </c>
      <c r="E117" s="308">
        <v>0</v>
      </c>
      <c r="F117" s="308">
        <v>0</v>
      </c>
      <c r="G117" s="308">
        <v>0</v>
      </c>
      <c r="H117" s="308">
        <v>0</v>
      </c>
      <c r="I117" s="308">
        <v>0</v>
      </c>
      <c r="J117" s="309">
        <v>0</v>
      </c>
      <c r="K117" s="309">
        <v>3.3530420428579524E-2</v>
      </c>
      <c r="L117" s="308">
        <v>4.5038322070702477E-2</v>
      </c>
      <c r="M117" s="308">
        <v>0</v>
      </c>
      <c r="N117" s="308">
        <v>2.3391529651064242E-2</v>
      </c>
      <c r="O117" s="309">
        <v>3.4558368921339025E-2</v>
      </c>
      <c r="P117" s="309">
        <v>0</v>
      </c>
      <c r="Q117" s="308">
        <v>0</v>
      </c>
      <c r="R117" s="309">
        <v>0</v>
      </c>
      <c r="S117" s="309">
        <v>0</v>
      </c>
      <c r="T117" s="309">
        <v>0</v>
      </c>
      <c r="U117" s="309">
        <v>3.4558368921339025E-2</v>
      </c>
      <c r="V117" s="315"/>
    </row>
    <row r="118" spans="1:22">
      <c r="A118" s="310"/>
      <c r="B118" s="311" t="s">
        <v>543</v>
      </c>
      <c r="C118" s="312">
        <v>0</v>
      </c>
      <c r="D118" s="313">
        <v>0</v>
      </c>
      <c r="E118" s="313">
        <v>0</v>
      </c>
      <c r="F118" s="313">
        <v>0</v>
      </c>
      <c r="G118" s="313">
        <v>0</v>
      </c>
      <c r="H118" s="313">
        <v>0</v>
      </c>
      <c r="I118" s="313">
        <v>0</v>
      </c>
      <c r="J118" s="314">
        <v>0</v>
      </c>
      <c r="K118" s="314">
        <v>2.4914934369430455E-2</v>
      </c>
      <c r="L118" s="313">
        <v>5.173133490376048E-2</v>
      </c>
      <c r="M118" s="313">
        <v>0</v>
      </c>
      <c r="N118" s="313">
        <v>3.6568246689438956E-2</v>
      </c>
      <c r="O118" s="314">
        <v>2.7482714165441863E-2</v>
      </c>
      <c r="P118" s="314">
        <v>0</v>
      </c>
      <c r="Q118" s="313">
        <v>0</v>
      </c>
      <c r="R118" s="314">
        <v>0</v>
      </c>
      <c r="S118" s="314">
        <v>0</v>
      </c>
      <c r="T118" s="314">
        <v>0</v>
      </c>
      <c r="U118" s="314">
        <v>2.7482714165441863E-2</v>
      </c>
      <c r="V118" s="315"/>
    </row>
    <row r="119" spans="1:22">
      <c r="A119" s="310"/>
      <c r="B119" s="316" t="s">
        <v>544</v>
      </c>
      <c r="C119" s="317">
        <v>0</v>
      </c>
      <c r="D119" s="318">
        <v>0</v>
      </c>
      <c r="E119" s="318">
        <v>0</v>
      </c>
      <c r="F119" s="318">
        <v>0</v>
      </c>
      <c r="G119" s="318">
        <v>0</v>
      </c>
      <c r="H119" s="318">
        <v>0</v>
      </c>
      <c r="I119" s="318">
        <v>0</v>
      </c>
      <c r="J119" s="320">
        <v>0</v>
      </c>
      <c r="K119" s="320">
        <v>-0.86154860591490701</v>
      </c>
      <c r="L119" s="318">
        <v>0.6693012833058003</v>
      </c>
      <c r="M119" s="318">
        <v>0</v>
      </c>
      <c r="N119" s="318">
        <v>1.3176717038374715</v>
      </c>
      <c r="O119" s="320">
        <v>-0.70756547558971616</v>
      </c>
      <c r="P119" s="320">
        <v>0</v>
      </c>
      <c r="Q119" s="318">
        <v>0</v>
      </c>
      <c r="R119" s="320">
        <v>0</v>
      </c>
      <c r="S119" s="320">
        <v>0</v>
      </c>
      <c r="T119" s="320">
        <v>0</v>
      </c>
      <c r="U119" s="320">
        <v>-0.70756547558971616</v>
      </c>
      <c r="V119" s="315"/>
    </row>
    <row r="120" spans="1:22">
      <c r="A120" s="310"/>
      <c r="B120" s="55" t="s">
        <v>545</v>
      </c>
      <c r="C120" s="307">
        <v>0</v>
      </c>
      <c r="D120" s="308">
        <v>0</v>
      </c>
      <c r="E120" s="308">
        <v>0</v>
      </c>
      <c r="F120" s="308">
        <v>0</v>
      </c>
      <c r="G120" s="308">
        <v>0</v>
      </c>
      <c r="H120" s="308">
        <v>0</v>
      </c>
      <c r="I120" s="308">
        <v>0</v>
      </c>
      <c r="J120" s="309">
        <v>0</v>
      </c>
      <c r="K120" s="309">
        <v>0.29033888001688829</v>
      </c>
      <c r="L120" s="308">
        <v>0.34414412074138534</v>
      </c>
      <c r="M120" s="308">
        <v>0</v>
      </c>
      <c r="N120" s="308">
        <v>0.36130953822311546</v>
      </c>
      <c r="O120" s="309">
        <v>0.29568381319741011</v>
      </c>
      <c r="P120" s="309">
        <v>0</v>
      </c>
      <c r="Q120" s="308">
        <v>0</v>
      </c>
      <c r="R120" s="309">
        <v>0</v>
      </c>
      <c r="S120" s="309">
        <v>0</v>
      </c>
      <c r="T120" s="309">
        <v>0</v>
      </c>
      <c r="U120" s="309">
        <v>0.29568381319741011</v>
      </c>
      <c r="V120" s="315"/>
    </row>
    <row r="121" spans="1:22">
      <c r="A121" s="310"/>
      <c r="B121" s="311" t="s">
        <v>546</v>
      </c>
      <c r="C121" s="312">
        <v>0</v>
      </c>
      <c r="D121" s="313">
        <v>0</v>
      </c>
      <c r="E121" s="313">
        <v>0</v>
      </c>
      <c r="F121" s="313">
        <v>0</v>
      </c>
      <c r="G121" s="313">
        <v>0</v>
      </c>
      <c r="H121" s="313">
        <v>0</v>
      </c>
      <c r="I121" s="313">
        <v>0</v>
      </c>
      <c r="J121" s="314">
        <v>0</v>
      </c>
      <c r="K121" s="314">
        <v>0.48813530788110676</v>
      </c>
      <c r="L121" s="313">
        <v>0.63632080653232603</v>
      </c>
      <c r="M121" s="313">
        <v>0</v>
      </c>
      <c r="N121" s="313">
        <v>0.56422254456974408</v>
      </c>
      <c r="O121" s="314">
        <v>0.50238178418222856</v>
      </c>
      <c r="P121" s="314">
        <v>0</v>
      </c>
      <c r="Q121" s="313">
        <v>0</v>
      </c>
      <c r="R121" s="314">
        <v>0</v>
      </c>
      <c r="S121" s="314">
        <v>0</v>
      </c>
      <c r="T121" s="314">
        <v>0</v>
      </c>
      <c r="U121" s="314">
        <v>0.50238178418222856</v>
      </c>
      <c r="V121" s="315"/>
    </row>
    <row r="122" spans="1:22">
      <c r="A122" s="310"/>
      <c r="B122" s="316" t="s">
        <v>547</v>
      </c>
      <c r="C122" s="317">
        <v>0</v>
      </c>
      <c r="D122" s="318">
        <v>0</v>
      </c>
      <c r="E122" s="318">
        <v>0</v>
      </c>
      <c r="F122" s="318">
        <v>0</v>
      </c>
      <c r="G122" s="318">
        <v>0</v>
      </c>
      <c r="H122" s="318">
        <v>0</v>
      </c>
      <c r="I122" s="318">
        <v>0</v>
      </c>
      <c r="J122" s="320">
        <v>0</v>
      </c>
      <c r="K122" s="320">
        <v>19.779642786421846</v>
      </c>
      <c r="L122" s="318">
        <v>29.21766857909407</v>
      </c>
      <c r="M122" s="318">
        <v>0</v>
      </c>
      <c r="N122" s="318">
        <v>20.291300634662861</v>
      </c>
      <c r="O122" s="320">
        <v>20.669797098481844</v>
      </c>
      <c r="P122" s="320">
        <v>0</v>
      </c>
      <c r="Q122" s="318">
        <v>0</v>
      </c>
      <c r="R122" s="320">
        <v>0</v>
      </c>
      <c r="S122" s="320">
        <v>0</v>
      </c>
      <c r="T122" s="320">
        <v>0</v>
      </c>
      <c r="U122" s="320">
        <v>20.669797098481844</v>
      </c>
      <c r="V122" s="315"/>
    </row>
    <row r="123" spans="1:22">
      <c r="A123" s="310"/>
      <c r="B123" s="55" t="s">
        <v>548</v>
      </c>
      <c r="C123" s="307">
        <v>0</v>
      </c>
      <c r="D123" s="308">
        <v>0</v>
      </c>
      <c r="E123" s="308">
        <v>0</v>
      </c>
      <c r="F123" s="308">
        <v>0</v>
      </c>
      <c r="G123" s="308">
        <v>0</v>
      </c>
      <c r="H123" s="308">
        <v>0</v>
      </c>
      <c r="I123" s="308">
        <v>0</v>
      </c>
      <c r="J123" s="309">
        <v>0</v>
      </c>
      <c r="K123" s="309">
        <v>1.1166015437932592E-4</v>
      </c>
      <c r="L123" s="308">
        <v>0</v>
      </c>
      <c r="M123" s="308">
        <v>0</v>
      </c>
      <c r="N123" s="308">
        <v>0</v>
      </c>
      <c r="O123" s="309">
        <v>1.007301281168205E-4</v>
      </c>
      <c r="P123" s="309">
        <v>0</v>
      </c>
      <c r="Q123" s="308">
        <v>0</v>
      </c>
      <c r="R123" s="309">
        <v>0</v>
      </c>
      <c r="S123" s="309">
        <v>0</v>
      </c>
      <c r="T123" s="309">
        <v>0</v>
      </c>
      <c r="U123" s="309">
        <v>1.007301281168205E-4</v>
      </c>
      <c r="V123" s="315"/>
    </row>
    <row r="124" spans="1:22">
      <c r="A124" s="310"/>
      <c r="B124" s="311" t="s">
        <v>549</v>
      </c>
      <c r="C124" s="312">
        <v>0</v>
      </c>
      <c r="D124" s="313">
        <v>0</v>
      </c>
      <c r="E124" s="313">
        <v>0</v>
      </c>
      <c r="F124" s="313">
        <v>0</v>
      </c>
      <c r="G124" s="313">
        <v>0</v>
      </c>
      <c r="H124" s="313">
        <v>0</v>
      </c>
      <c r="I124" s="313">
        <v>0</v>
      </c>
      <c r="J124" s="314">
        <v>0</v>
      </c>
      <c r="K124" s="314">
        <v>0.12412020251204281</v>
      </c>
      <c r="L124" s="313">
        <v>0</v>
      </c>
      <c r="M124" s="313">
        <v>0</v>
      </c>
      <c r="N124" s="313">
        <v>5.4279163352206261E-3</v>
      </c>
      <c r="O124" s="314">
        <v>0.11191888620062253</v>
      </c>
      <c r="P124" s="314">
        <v>0</v>
      </c>
      <c r="Q124" s="313">
        <v>0</v>
      </c>
      <c r="R124" s="314">
        <v>0</v>
      </c>
      <c r="S124" s="314">
        <v>0</v>
      </c>
      <c r="T124" s="314">
        <v>0</v>
      </c>
      <c r="U124" s="314">
        <v>0.11191888620062253</v>
      </c>
      <c r="V124" s="315"/>
    </row>
    <row r="125" spans="1:22">
      <c r="A125" s="310"/>
      <c r="B125" s="316" t="s">
        <v>550</v>
      </c>
      <c r="C125" s="317">
        <v>0</v>
      </c>
      <c r="D125" s="318">
        <v>0</v>
      </c>
      <c r="E125" s="318">
        <v>0</v>
      </c>
      <c r="F125" s="318">
        <v>0</v>
      </c>
      <c r="G125" s="318">
        <v>0</v>
      </c>
      <c r="H125" s="318">
        <v>0</v>
      </c>
      <c r="I125" s="318">
        <v>0</v>
      </c>
      <c r="J125" s="320">
        <v>0</v>
      </c>
      <c r="K125" s="320">
        <v>12.400854235766348</v>
      </c>
      <c r="L125" s="318">
        <v>0</v>
      </c>
      <c r="M125" s="318">
        <v>0</v>
      </c>
      <c r="N125" s="318">
        <v>0</v>
      </c>
      <c r="O125" s="320">
        <v>11.181815607250572</v>
      </c>
      <c r="P125" s="320">
        <v>0</v>
      </c>
      <c r="Q125" s="318">
        <v>0</v>
      </c>
      <c r="R125" s="320">
        <v>0</v>
      </c>
      <c r="S125" s="320">
        <v>0</v>
      </c>
      <c r="T125" s="320">
        <v>0</v>
      </c>
      <c r="U125" s="320">
        <v>11.181815607250572</v>
      </c>
      <c r="V125" s="315"/>
    </row>
    <row r="126" spans="1:22">
      <c r="A126" s="310"/>
      <c r="B126" s="55" t="s">
        <v>551</v>
      </c>
      <c r="C126" s="307">
        <v>0</v>
      </c>
      <c r="D126" s="308">
        <v>0</v>
      </c>
      <c r="E126" s="308">
        <v>0</v>
      </c>
      <c r="F126" s="308">
        <v>0</v>
      </c>
      <c r="G126" s="308">
        <v>0</v>
      </c>
      <c r="H126" s="308">
        <v>0</v>
      </c>
      <c r="I126" s="308">
        <v>0</v>
      </c>
      <c r="J126" s="309">
        <v>0</v>
      </c>
      <c r="K126" s="309">
        <v>4.7194129363542009E-3</v>
      </c>
      <c r="L126" s="308">
        <v>0</v>
      </c>
      <c r="M126" s="308">
        <v>0</v>
      </c>
      <c r="N126" s="308">
        <v>0</v>
      </c>
      <c r="O126" s="309">
        <v>4.2574459291913483E-3</v>
      </c>
      <c r="P126" s="309">
        <v>0</v>
      </c>
      <c r="Q126" s="308">
        <v>0</v>
      </c>
      <c r="R126" s="309">
        <v>0</v>
      </c>
      <c r="S126" s="309">
        <v>0</v>
      </c>
      <c r="T126" s="309">
        <v>0</v>
      </c>
      <c r="U126" s="309">
        <v>4.2574459291913483E-3</v>
      </c>
      <c r="V126" s="315"/>
    </row>
    <row r="127" spans="1:22">
      <c r="A127" s="310"/>
      <c r="B127" s="311" t="s">
        <v>552</v>
      </c>
      <c r="C127" s="312">
        <v>0</v>
      </c>
      <c r="D127" s="313">
        <v>0</v>
      </c>
      <c r="E127" s="313">
        <v>0</v>
      </c>
      <c r="F127" s="313">
        <v>0</v>
      </c>
      <c r="G127" s="313">
        <v>0</v>
      </c>
      <c r="H127" s="313">
        <v>0</v>
      </c>
      <c r="I127" s="313">
        <v>0</v>
      </c>
      <c r="J127" s="314">
        <v>0</v>
      </c>
      <c r="K127" s="314">
        <v>3.4772925696101872E-4</v>
      </c>
      <c r="L127" s="313">
        <v>0</v>
      </c>
      <c r="M127" s="313">
        <v>0</v>
      </c>
      <c r="N127" s="313">
        <v>0</v>
      </c>
      <c r="O127" s="314">
        <v>3.1347235140719146E-4</v>
      </c>
      <c r="P127" s="314">
        <v>0</v>
      </c>
      <c r="Q127" s="313">
        <v>0</v>
      </c>
      <c r="R127" s="314">
        <v>0</v>
      </c>
      <c r="S127" s="314">
        <v>0</v>
      </c>
      <c r="T127" s="314">
        <v>0</v>
      </c>
      <c r="U127" s="314">
        <v>3.1347235140719146E-4</v>
      </c>
      <c r="V127" s="315"/>
    </row>
    <row r="128" spans="1:22">
      <c r="A128" s="310"/>
      <c r="B128" s="316" t="s">
        <v>553</v>
      </c>
      <c r="C128" s="317">
        <v>0</v>
      </c>
      <c r="D128" s="318">
        <v>0</v>
      </c>
      <c r="E128" s="318">
        <v>0</v>
      </c>
      <c r="F128" s="318">
        <v>0</v>
      </c>
      <c r="G128" s="318">
        <v>0</v>
      </c>
      <c r="H128" s="318">
        <v>0</v>
      </c>
      <c r="I128" s="318">
        <v>0</v>
      </c>
      <c r="J128" s="320">
        <v>0</v>
      </c>
      <c r="K128" s="320">
        <v>-0.43716836793931818</v>
      </c>
      <c r="L128" s="318">
        <v>0</v>
      </c>
      <c r="M128" s="318">
        <v>0</v>
      </c>
      <c r="N128" s="318">
        <v>0</v>
      </c>
      <c r="O128" s="320">
        <v>-0.39439735777841572</v>
      </c>
      <c r="P128" s="320">
        <v>0</v>
      </c>
      <c r="Q128" s="318">
        <v>0</v>
      </c>
      <c r="R128" s="320">
        <v>0</v>
      </c>
      <c r="S128" s="320">
        <v>0</v>
      </c>
      <c r="T128" s="320">
        <v>0</v>
      </c>
      <c r="U128" s="320">
        <v>-0.39439735777841572</v>
      </c>
      <c r="V128" s="315"/>
    </row>
    <row r="129" spans="1:22">
      <c r="A129" s="310"/>
      <c r="B129" s="55" t="s">
        <v>554</v>
      </c>
      <c r="C129" s="307">
        <v>0</v>
      </c>
      <c r="D129" s="308">
        <v>0</v>
      </c>
      <c r="E129" s="308">
        <v>0</v>
      </c>
      <c r="F129" s="308">
        <v>0</v>
      </c>
      <c r="G129" s="308">
        <v>0</v>
      </c>
      <c r="H129" s="308">
        <v>0</v>
      </c>
      <c r="I129" s="308">
        <v>0</v>
      </c>
      <c r="J129" s="309">
        <v>0</v>
      </c>
      <c r="K129" s="309">
        <v>4.1231183920155905E-4</v>
      </c>
      <c r="L129" s="308">
        <v>0</v>
      </c>
      <c r="M129" s="308">
        <v>0</v>
      </c>
      <c r="N129" s="308">
        <v>0</v>
      </c>
      <c r="O129" s="309">
        <v>3.7195205951232952E-4</v>
      </c>
      <c r="P129" s="309">
        <v>0</v>
      </c>
      <c r="Q129" s="308">
        <v>0</v>
      </c>
      <c r="R129" s="309">
        <v>0</v>
      </c>
      <c r="S129" s="309">
        <v>0</v>
      </c>
      <c r="T129" s="309">
        <v>0</v>
      </c>
      <c r="U129" s="309">
        <v>3.7195205951232952E-4</v>
      </c>
      <c r="V129" s="315"/>
    </row>
    <row r="130" spans="1:22">
      <c r="A130" s="310"/>
      <c r="B130" s="311" t="s">
        <v>555</v>
      </c>
      <c r="C130" s="312">
        <v>0</v>
      </c>
      <c r="D130" s="313">
        <v>0</v>
      </c>
      <c r="E130" s="313">
        <v>0</v>
      </c>
      <c r="F130" s="313">
        <v>0</v>
      </c>
      <c r="G130" s="313">
        <v>0</v>
      </c>
      <c r="H130" s="313">
        <v>0</v>
      </c>
      <c r="I130" s="313">
        <v>0</v>
      </c>
      <c r="J130" s="314">
        <v>0</v>
      </c>
      <c r="K130" s="314">
        <v>4.1301564680240572E-4</v>
      </c>
      <c r="L130" s="313">
        <v>0</v>
      </c>
      <c r="M130" s="313">
        <v>0</v>
      </c>
      <c r="N130" s="313">
        <v>0</v>
      </c>
      <c r="O130" s="314">
        <v>3.7232698537536629E-4</v>
      </c>
      <c r="P130" s="314">
        <v>0</v>
      </c>
      <c r="Q130" s="313">
        <v>0</v>
      </c>
      <c r="R130" s="314">
        <v>0</v>
      </c>
      <c r="S130" s="314">
        <v>0</v>
      </c>
      <c r="T130" s="314">
        <v>0</v>
      </c>
      <c r="U130" s="314">
        <v>3.7232698537536629E-4</v>
      </c>
      <c r="V130" s="315"/>
    </row>
    <row r="131" spans="1:22" ht="15" thickBot="1">
      <c r="A131" s="310"/>
      <c r="B131" s="322" t="s">
        <v>556</v>
      </c>
      <c r="C131" s="323">
        <v>0</v>
      </c>
      <c r="D131" s="324">
        <v>0</v>
      </c>
      <c r="E131" s="324">
        <v>0</v>
      </c>
      <c r="F131" s="324">
        <v>0</v>
      </c>
      <c r="G131" s="324">
        <v>0</v>
      </c>
      <c r="H131" s="324">
        <v>0</v>
      </c>
      <c r="I131" s="324">
        <v>0</v>
      </c>
      <c r="J131" s="325">
        <v>0</v>
      </c>
      <c r="K131" s="325">
        <v>7.0380760084666743E-5</v>
      </c>
      <c r="L131" s="324">
        <v>0</v>
      </c>
      <c r="M131" s="324">
        <v>0</v>
      </c>
      <c r="N131" s="324">
        <v>0</v>
      </c>
      <c r="O131" s="325">
        <v>3.749258630367713E-5</v>
      </c>
      <c r="P131" s="325">
        <v>0</v>
      </c>
      <c r="Q131" s="324">
        <v>0</v>
      </c>
      <c r="R131" s="325">
        <v>0</v>
      </c>
      <c r="S131" s="325">
        <v>0</v>
      </c>
      <c r="T131" s="325">
        <v>0</v>
      </c>
      <c r="U131" s="325">
        <v>3.749258630367713E-5</v>
      </c>
      <c r="V131" s="315"/>
    </row>
    <row r="132" spans="1:22" ht="15" thickTop="1">
      <c r="A132" s="310"/>
      <c r="B132" s="311" t="s">
        <v>557</v>
      </c>
      <c r="C132" s="312">
        <v>0</v>
      </c>
      <c r="D132" s="313">
        <v>0</v>
      </c>
      <c r="E132" s="313">
        <v>0</v>
      </c>
      <c r="F132" s="313">
        <v>0</v>
      </c>
      <c r="G132" s="313">
        <v>0</v>
      </c>
      <c r="H132" s="313">
        <v>0</v>
      </c>
      <c r="I132" s="313">
        <v>0</v>
      </c>
      <c r="J132" s="314">
        <v>0</v>
      </c>
      <c r="K132" s="314">
        <v>0</v>
      </c>
      <c r="L132" s="313">
        <v>0</v>
      </c>
      <c r="M132" s="313">
        <v>0</v>
      </c>
      <c r="N132" s="313">
        <v>0</v>
      </c>
      <c r="O132" s="314">
        <v>0</v>
      </c>
      <c r="P132" s="314">
        <v>0</v>
      </c>
      <c r="Q132" s="313">
        <v>0</v>
      </c>
      <c r="R132" s="314">
        <v>0</v>
      </c>
      <c r="S132" s="314">
        <v>0</v>
      </c>
      <c r="T132" s="314">
        <v>0</v>
      </c>
      <c r="U132" s="314">
        <v>0</v>
      </c>
      <c r="V132" s="315"/>
    </row>
    <row r="133" spans="1:22">
      <c r="A133" s="310"/>
      <c r="B133" s="311" t="s">
        <v>558</v>
      </c>
      <c r="C133" s="312">
        <v>0</v>
      </c>
      <c r="D133" s="313">
        <v>0</v>
      </c>
      <c r="E133" s="313">
        <v>0</v>
      </c>
      <c r="F133" s="313">
        <v>0</v>
      </c>
      <c r="G133" s="313">
        <v>0</v>
      </c>
      <c r="H133" s="313">
        <v>0</v>
      </c>
      <c r="I133" s="313">
        <v>0</v>
      </c>
      <c r="J133" s="314">
        <v>0</v>
      </c>
      <c r="K133" s="314">
        <v>0</v>
      </c>
      <c r="L133" s="313">
        <v>0</v>
      </c>
      <c r="M133" s="313">
        <v>0</v>
      </c>
      <c r="N133" s="313">
        <v>0</v>
      </c>
      <c r="O133" s="314">
        <v>0</v>
      </c>
      <c r="P133" s="314">
        <v>0</v>
      </c>
      <c r="Q133" s="313">
        <v>0</v>
      </c>
      <c r="R133" s="314">
        <v>0</v>
      </c>
      <c r="S133" s="314">
        <v>0</v>
      </c>
      <c r="T133" s="314">
        <v>0</v>
      </c>
      <c r="U133" s="314">
        <v>0</v>
      </c>
      <c r="V133" s="315"/>
    </row>
    <row r="134" spans="1:22">
      <c r="A134" s="310"/>
      <c r="B134" s="316" t="s">
        <v>559</v>
      </c>
      <c r="C134" s="317">
        <v>0</v>
      </c>
      <c r="D134" s="318">
        <v>0</v>
      </c>
      <c r="E134" s="318">
        <v>0</v>
      </c>
      <c r="F134" s="318">
        <v>0</v>
      </c>
      <c r="G134" s="318">
        <v>0</v>
      </c>
      <c r="H134" s="318">
        <v>0</v>
      </c>
      <c r="I134" s="318">
        <v>0</v>
      </c>
      <c r="J134" s="320">
        <v>0</v>
      </c>
      <c r="K134" s="320">
        <v>0</v>
      </c>
      <c r="L134" s="318">
        <v>0</v>
      </c>
      <c r="M134" s="318">
        <v>0</v>
      </c>
      <c r="N134" s="318">
        <v>0</v>
      </c>
      <c r="O134" s="320">
        <v>0</v>
      </c>
      <c r="P134" s="320">
        <v>0</v>
      </c>
      <c r="Q134" s="318">
        <v>0</v>
      </c>
      <c r="R134" s="320">
        <v>0</v>
      </c>
      <c r="S134" s="320">
        <v>0</v>
      </c>
      <c r="T134" s="320">
        <v>0</v>
      </c>
      <c r="U134" s="320">
        <v>0</v>
      </c>
      <c r="V134" s="315"/>
    </row>
    <row r="135" spans="1:22">
      <c r="A135" s="310"/>
      <c r="B135" s="55" t="s">
        <v>560</v>
      </c>
      <c r="C135" s="307">
        <v>0</v>
      </c>
      <c r="D135" s="308">
        <v>0</v>
      </c>
      <c r="E135" s="308">
        <v>0</v>
      </c>
      <c r="F135" s="308">
        <v>0</v>
      </c>
      <c r="G135" s="308">
        <v>0</v>
      </c>
      <c r="H135" s="308">
        <v>0</v>
      </c>
      <c r="I135" s="308">
        <v>0</v>
      </c>
      <c r="J135" s="309">
        <v>0</v>
      </c>
      <c r="K135" s="309">
        <v>0</v>
      </c>
      <c r="L135" s="308">
        <v>0</v>
      </c>
      <c r="M135" s="308">
        <v>0</v>
      </c>
      <c r="N135" s="308">
        <v>0</v>
      </c>
      <c r="O135" s="309">
        <v>0</v>
      </c>
      <c r="P135" s="309">
        <v>0</v>
      </c>
      <c r="Q135" s="308">
        <v>0</v>
      </c>
      <c r="R135" s="309">
        <v>0</v>
      </c>
      <c r="S135" s="309">
        <v>0</v>
      </c>
      <c r="T135" s="309">
        <v>0</v>
      </c>
      <c r="U135" s="309">
        <v>0</v>
      </c>
      <c r="V135" s="315"/>
    </row>
    <row r="136" spans="1:22">
      <c r="A136" s="310"/>
      <c r="B136" s="311" t="s">
        <v>561</v>
      </c>
      <c r="C136" s="312">
        <v>0</v>
      </c>
      <c r="D136" s="313">
        <v>0</v>
      </c>
      <c r="E136" s="313">
        <v>0</v>
      </c>
      <c r="F136" s="313">
        <v>0</v>
      </c>
      <c r="G136" s="313">
        <v>0</v>
      </c>
      <c r="H136" s="313">
        <v>0</v>
      </c>
      <c r="I136" s="313">
        <v>0</v>
      </c>
      <c r="J136" s="314">
        <v>0</v>
      </c>
      <c r="K136" s="314">
        <v>0</v>
      </c>
      <c r="L136" s="313">
        <v>0</v>
      </c>
      <c r="M136" s="313">
        <v>0</v>
      </c>
      <c r="N136" s="313">
        <v>0</v>
      </c>
      <c r="O136" s="314">
        <v>0</v>
      </c>
      <c r="P136" s="314">
        <v>0</v>
      </c>
      <c r="Q136" s="313">
        <v>0</v>
      </c>
      <c r="R136" s="314">
        <v>0</v>
      </c>
      <c r="S136" s="314">
        <v>0</v>
      </c>
      <c r="T136" s="314">
        <v>0</v>
      </c>
      <c r="U136" s="314">
        <v>0</v>
      </c>
      <c r="V136" s="315"/>
    </row>
    <row r="137" spans="1:22">
      <c r="A137" s="310"/>
      <c r="B137" s="316" t="s">
        <v>562</v>
      </c>
      <c r="C137" s="317">
        <v>0</v>
      </c>
      <c r="D137" s="318">
        <v>0</v>
      </c>
      <c r="E137" s="318">
        <v>0</v>
      </c>
      <c r="F137" s="318">
        <v>0</v>
      </c>
      <c r="G137" s="318">
        <v>0</v>
      </c>
      <c r="H137" s="318">
        <v>0</v>
      </c>
      <c r="I137" s="318">
        <v>0</v>
      </c>
      <c r="J137" s="320">
        <v>0</v>
      </c>
      <c r="K137" s="320">
        <v>0</v>
      </c>
      <c r="L137" s="318">
        <v>0</v>
      </c>
      <c r="M137" s="318">
        <v>0</v>
      </c>
      <c r="N137" s="318">
        <v>0</v>
      </c>
      <c r="O137" s="320">
        <v>0</v>
      </c>
      <c r="P137" s="320">
        <v>0</v>
      </c>
      <c r="Q137" s="318">
        <v>0</v>
      </c>
      <c r="R137" s="320">
        <v>0</v>
      </c>
      <c r="S137" s="320">
        <v>0</v>
      </c>
      <c r="T137" s="320">
        <v>0</v>
      </c>
      <c r="U137" s="320">
        <v>0</v>
      </c>
      <c r="V137" s="315"/>
    </row>
    <row r="138" spans="1:22">
      <c r="A138" s="310"/>
      <c r="B138" s="55" t="s">
        <v>563</v>
      </c>
      <c r="C138" s="307">
        <v>0</v>
      </c>
      <c r="D138" s="308">
        <v>0</v>
      </c>
      <c r="E138" s="308">
        <v>0</v>
      </c>
      <c r="F138" s="308">
        <v>0</v>
      </c>
      <c r="G138" s="308">
        <v>0</v>
      </c>
      <c r="H138" s="308">
        <v>0</v>
      </c>
      <c r="I138" s="308">
        <v>0</v>
      </c>
      <c r="J138" s="309">
        <v>0</v>
      </c>
      <c r="K138" s="309">
        <v>0</v>
      </c>
      <c r="L138" s="308">
        <v>0</v>
      </c>
      <c r="M138" s="308">
        <v>0</v>
      </c>
      <c r="N138" s="308">
        <v>0</v>
      </c>
      <c r="O138" s="309">
        <v>0</v>
      </c>
      <c r="P138" s="309">
        <v>0</v>
      </c>
      <c r="Q138" s="308">
        <v>0</v>
      </c>
      <c r="R138" s="309">
        <v>0</v>
      </c>
      <c r="S138" s="309">
        <v>0</v>
      </c>
      <c r="T138" s="309">
        <v>0</v>
      </c>
      <c r="U138" s="309">
        <v>0</v>
      </c>
      <c r="V138" s="315"/>
    </row>
    <row r="139" spans="1:22">
      <c r="A139" s="310"/>
      <c r="B139" s="311" t="s">
        <v>564</v>
      </c>
      <c r="C139" s="312">
        <v>0</v>
      </c>
      <c r="D139" s="313">
        <v>0</v>
      </c>
      <c r="E139" s="313">
        <v>0</v>
      </c>
      <c r="F139" s="313">
        <v>0</v>
      </c>
      <c r="G139" s="313">
        <v>0</v>
      </c>
      <c r="H139" s="313">
        <v>0</v>
      </c>
      <c r="I139" s="313">
        <v>0</v>
      </c>
      <c r="J139" s="314">
        <v>0</v>
      </c>
      <c r="K139" s="314">
        <v>0</v>
      </c>
      <c r="L139" s="313">
        <v>0</v>
      </c>
      <c r="M139" s="313">
        <v>0</v>
      </c>
      <c r="N139" s="313">
        <v>0</v>
      </c>
      <c r="O139" s="314">
        <v>0</v>
      </c>
      <c r="P139" s="314">
        <v>0</v>
      </c>
      <c r="Q139" s="313">
        <v>0</v>
      </c>
      <c r="R139" s="314">
        <v>0</v>
      </c>
      <c r="S139" s="314">
        <v>0</v>
      </c>
      <c r="T139" s="314">
        <v>0</v>
      </c>
      <c r="U139" s="314">
        <v>0</v>
      </c>
      <c r="V139" s="315"/>
    </row>
    <row r="140" spans="1:22">
      <c r="A140" s="310"/>
      <c r="B140" s="316" t="s">
        <v>565</v>
      </c>
      <c r="C140" s="317">
        <v>0</v>
      </c>
      <c r="D140" s="318">
        <v>0</v>
      </c>
      <c r="E140" s="318">
        <v>0</v>
      </c>
      <c r="F140" s="318">
        <v>0</v>
      </c>
      <c r="G140" s="318">
        <v>0</v>
      </c>
      <c r="H140" s="318">
        <v>0</v>
      </c>
      <c r="I140" s="318">
        <v>0</v>
      </c>
      <c r="J140" s="320">
        <v>0</v>
      </c>
      <c r="K140" s="320">
        <v>0</v>
      </c>
      <c r="L140" s="318">
        <v>0</v>
      </c>
      <c r="M140" s="318">
        <v>0</v>
      </c>
      <c r="N140" s="318">
        <v>0</v>
      </c>
      <c r="O140" s="320">
        <v>0</v>
      </c>
      <c r="P140" s="320">
        <v>0</v>
      </c>
      <c r="Q140" s="318">
        <v>0</v>
      </c>
      <c r="R140" s="320">
        <v>0</v>
      </c>
      <c r="S140" s="320">
        <v>0</v>
      </c>
      <c r="T140" s="320">
        <v>0</v>
      </c>
      <c r="U140" s="320">
        <v>0</v>
      </c>
      <c r="V140" s="315"/>
    </row>
    <row r="141" spans="1:22">
      <c r="A141" s="310"/>
      <c r="B141" s="55" t="s">
        <v>566</v>
      </c>
      <c r="C141" s="307">
        <v>0</v>
      </c>
      <c r="D141" s="308">
        <v>0</v>
      </c>
      <c r="E141" s="308">
        <v>0</v>
      </c>
      <c r="F141" s="308">
        <v>0</v>
      </c>
      <c r="G141" s="308">
        <v>0</v>
      </c>
      <c r="H141" s="308">
        <v>0</v>
      </c>
      <c r="I141" s="308">
        <v>0</v>
      </c>
      <c r="J141" s="309">
        <v>0</v>
      </c>
      <c r="K141" s="309">
        <v>0</v>
      </c>
      <c r="L141" s="308">
        <v>0</v>
      </c>
      <c r="M141" s="308">
        <v>0</v>
      </c>
      <c r="N141" s="308">
        <v>0</v>
      </c>
      <c r="O141" s="309">
        <v>0</v>
      </c>
      <c r="P141" s="309">
        <v>0</v>
      </c>
      <c r="Q141" s="308">
        <v>0</v>
      </c>
      <c r="R141" s="309">
        <v>0</v>
      </c>
      <c r="S141" s="309">
        <v>0</v>
      </c>
      <c r="T141" s="309">
        <v>0</v>
      </c>
      <c r="U141" s="309">
        <v>0</v>
      </c>
      <c r="V141" s="315"/>
    </row>
    <row r="142" spans="1:22">
      <c r="A142" s="310"/>
      <c r="B142" s="311" t="s">
        <v>567</v>
      </c>
      <c r="C142" s="312">
        <v>0</v>
      </c>
      <c r="D142" s="313">
        <v>0</v>
      </c>
      <c r="E142" s="313">
        <v>0</v>
      </c>
      <c r="F142" s="313">
        <v>0</v>
      </c>
      <c r="G142" s="313">
        <v>0</v>
      </c>
      <c r="H142" s="313">
        <v>0</v>
      </c>
      <c r="I142" s="313">
        <v>0</v>
      </c>
      <c r="J142" s="314">
        <v>0</v>
      </c>
      <c r="K142" s="314">
        <v>0</v>
      </c>
      <c r="L142" s="313">
        <v>0</v>
      </c>
      <c r="M142" s="313">
        <v>0</v>
      </c>
      <c r="N142" s="313">
        <v>0</v>
      </c>
      <c r="O142" s="314">
        <v>0</v>
      </c>
      <c r="P142" s="314">
        <v>0</v>
      </c>
      <c r="Q142" s="313">
        <v>0</v>
      </c>
      <c r="R142" s="314">
        <v>0</v>
      </c>
      <c r="S142" s="314">
        <v>0</v>
      </c>
      <c r="T142" s="314">
        <v>0</v>
      </c>
      <c r="U142" s="314">
        <v>0</v>
      </c>
      <c r="V142" s="315"/>
    </row>
    <row r="143" spans="1:22">
      <c r="A143" s="310"/>
      <c r="B143" s="316" t="s">
        <v>568</v>
      </c>
      <c r="C143" s="317">
        <v>0</v>
      </c>
      <c r="D143" s="318">
        <v>0</v>
      </c>
      <c r="E143" s="318">
        <v>0</v>
      </c>
      <c r="F143" s="318">
        <v>0</v>
      </c>
      <c r="G143" s="318">
        <v>0</v>
      </c>
      <c r="H143" s="318">
        <v>0</v>
      </c>
      <c r="I143" s="318">
        <v>0</v>
      </c>
      <c r="J143" s="320">
        <v>0</v>
      </c>
      <c r="K143" s="320">
        <v>0</v>
      </c>
      <c r="L143" s="318">
        <v>0</v>
      </c>
      <c r="M143" s="318">
        <v>0</v>
      </c>
      <c r="N143" s="318">
        <v>0</v>
      </c>
      <c r="O143" s="320">
        <v>0</v>
      </c>
      <c r="P143" s="320">
        <v>0</v>
      </c>
      <c r="Q143" s="318">
        <v>0</v>
      </c>
      <c r="R143" s="320">
        <v>0</v>
      </c>
      <c r="S143" s="320">
        <v>0</v>
      </c>
      <c r="T143" s="320">
        <v>0</v>
      </c>
      <c r="U143" s="320">
        <v>0</v>
      </c>
      <c r="V143" s="315"/>
    </row>
    <row r="144" spans="1:22">
      <c r="A144" s="310"/>
      <c r="B144" s="55" t="s">
        <v>569</v>
      </c>
      <c r="C144" s="307">
        <v>0</v>
      </c>
      <c r="D144" s="308">
        <v>0</v>
      </c>
      <c r="E144" s="308">
        <v>0</v>
      </c>
      <c r="F144" s="308">
        <v>0</v>
      </c>
      <c r="G144" s="308">
        <v>0</v>
      </c>
      <c r="H144" s="308">
        <v>0</v>
      </c>
      <c r="I144" s="308">
        <v>0</v>
      </c>
      <c r="J144" s="309">
        <v>0</v>
      </c>
      <c r="K144" s="309">
        <v>0</v>
      </c>
      <c r="L144" s="308">
        <v>0</v>
      </c>
      <c r="M144" s="308">
        <v>0</v>
      </c>
      <c r="N144" s="308">
        <v>0</v>
      </c>
      <c r="O144" s="309">
        <v>0</v>
      </c>
      <c r="P144" s="309">
        <v>0</v>
      </c>
      <c r="Q144" s="308">
        <v>0</v>
      </c>
      <c r="R144" s="309">
        <v>0</v>
      </c>
      <c r="S144" s="309">
        <v>0</v>
      </c>
      <c r="T144" s="309">
        <v>0</v>
      </c>
      <c r="U144" s="309">
        <v>0</v>
      </c>
      <c r="V144" s="315"/>
    </row>
    <row r="145" spans="1:22">
      <c r="A145" s="310"/>
      <c r="B145" s="311" t="s">
        <v>570</v>
      </c>
      <c r="C145" s="312">
        <v>0</v>
      </c>
      <c r="D145" s="313">
        <v>0</v>
      </c>
      <c r="E145" s="313">
        <v>0</v>
      </c>
      <c r="F145" s="313">
        <v>0</v>
      </c>
      <c r="G145" s="313">
        <v>0</v>
      </c>
      <c r="H145" s="313">
        <v>0</v>
      </c>
      <c r="I145" s="313">
        <v>0</v>
      </c>
      <c r="J145" s="314">
        <v>0</v>
      </c>
      <c r="K145" s="314">
        <v>0</v>
      </c>
      <c r="L145" s="313">
        <v>0</v>
      </c>
      <c r="M145" s="313">
        <v>0</v>
      </c>
      <c r="N145" s="313">
        <v>0</v>
      </c>
      <c r="O145" s="314">
        <v>0</v>
      </c>
      <c r="P145" s="314">
        <v>0</v>
      </c>
      <c r="Q145" s="313">
        <v>0</v>
      </c>
      <c r="R145" s="314">
        <v>0</v>
      </c>
      <c r="S145" s="314">
        <v>0</v>
      </c>
      <c r="T145" s="314">
        <v>0</v>
      </c>
      <c r="U145" s="314">
        <v>0</v>
      </c>
      <c r="V145" s="315"/>
    </row>
    <row r="146" spans="1:22">
      <c r="A146" s="310"/>
      <c r="B146" s="316" t="s">
        <v>571</v>
      </c>
      <c r="C146" s="317">
        <v>0</v>
      </c>
      <c r="D146" s="318">
        <v>0</v>
      </c>
      <c r="E146" s="318">
        <v>0</v>
      </c>
      <c r="F146" s="318">
        <v>0</v>
      </c>
      <c r="G146" s="318">
        <v>0</v>
      </c>
      <c r="H146" s="318">
        <v>0</v>
      </c>
      <c r="I146" s="318">
        <v>0</v>
      </c>
      <c r="J146" s="320">
        <v>0</v>
      </c>
      <c r="K146" s="320">
        <v>0</v>
      </c>
      <c r="L146" s="318">
        <v>0</v>
      </c>
      <c r="M146" s="318">
        <v>0</v>
      </c>
      <c r="N146" s="318">
        <v>0</v>
      </c>
      <c r="O146" s="320">
        <v>0</v>
      </c>
      <c r="P146" s="320">
        <v>0</v>
      </c>
      <c r="Q146" s="318">
        <v>0</v>
      </c>
      <c r="R146" s="320">
        <v>0</v>
      </c>
      <c r="S146" s="320">
        <v>0</v>
      </c>
      <c r="T146" s="320">
        <v>0</v>
      </c>
      <c r="U146" s="320">
        <v>0</v>
      </c>
      <c r="V146" s="315"/>
    </row>
    <row r="147" spans="1:22">
      <c r="A147" s="310"/>
      <c r="B147" s="55" t="s">
        <v>572</v>
      </c>
      <c r="C147" s="307">
        <v>0</v>
      </c>
      <c r="D147" s="308">
        <v>0</v>
      </c>
      <c r="E147" s="308">
        <v>0</v>
      </c>
      <c r="F147" s="308">
        <v>0</v>
      </c>
      <c r="G147" s="308">
        <v>0</v>
      </c>
      <c r="H147" s="308">
        <v>0</v>
      </c>
      <c r="I147" s="308">
        <v>0</v>
      </c>
      <c r="J147" s="309">
        <v>0</v>
      </c>
      <c r="K147" s="309">
        <v>0</v>
      </c>
      <c r="L147" s="308">
        <v>0</v>
      </c>
      <c r="M147" s="308">
        <v>0</v>
      </c>
      <c r="N147" s="308">
        <v>0</v>
      </c>
      <c r="O147" s="309">
        <v>0</v>
      </c>
      <c r="P147" s="309">
        <v>0</v>
      </c>
      <c r="Q147" s="308">
        <v>0</v>
      </c>
      <c r="R147" s="309">
        <v>0</v>
      </c>
      <c r="S147" s="309">
        <v>0</v>
      </c>
      <c r="T147" s="309">
        <v>0</v>
      </c>
      <c r="U147" s="309">
        <v>0</v>
      </c>
      <c r="V147" s="315"/>
    </row>
    <row r="148" spans="1:22">
      <c r="A148" s="310"/>
      <c r="B148" s="311" t="s">
        <v>573</v>
      </c>
      <c r="C148" s="312">
        <v>0</v>
      </c>
      <c r="D148" s="313">
        <v>0</v>
      </c>
      <c r="E148" s="313">
        <v>0</v>
      </c>
      <c r="F148" s="313">
        <v>0</v>
      </c>
      <c r="G148" s="313">
        <v>0</v>
      </c>
      <c r="H148" s="313">
        <v>0</v>
      </c>
      <c r="I148" s="313">
        <v>0</v>
      </c>
      <c r="J148" s="314">
        <v>0</v>
      </c>
      <c r="K148" s="314">
        <v>0</v>
      </c>
      <c r="L148" s="313">
        <v>0</v>
      </c>
      <c r="M148" s="313">
        <v>0</v>
      </c>
      <c r="N148" s="313">
        <v>0</v>
      </c>
      <c r="O148" s="314">
        <v>0</v>
      </c>
      <c r="P148" s="314">
        <v>0</v>
      </c>
      <c r="Q148" s="313">
        <v>0</v>
      </c>
      <c r="R148" s="314">
        <v>0</v>
      </c>
      <c r="S148" s="314">
        <v>0</v>
      </c>
      <c r="T148" s="314">
        <v>0</v>
      </c>
      <c r="U148" s="314">
        <v>0</v>
      </c>
      <c r="V148" s="315"/>
    </row>
    <row r="149" spans="1:22" ht="15" thickBot="1">
      <c r="A149" s="326"/>
      <c r="B149" s="327" t="s">
        <v>574</v>
      </c>
      <c r="C149" s="328">
        <v>0</v>
      </c>
      <c r="D149" s="329">
        <v>0</v>
      </c>
      <c r="E149" s="329">
        <v>0</v>
      </c>
      <c r="F149" s="329">
        <v>0</v>
      </c>
      <c r="G149" s="329">
        <v>0</v>
      </c>
      <c r="H149" s="329">
        <v>0</v>
      </c>
      <c r="I149" s="329">
        <v>0</v>
      </c>
      <c r="J149" s="330">
        <v>0</v>
      </c>
      <c r="K149" s="330">
        <v>0</v>
      </c>
      <c r="L149" s="329">
        <v>0</v>
      </c>
      <c r="M149" s="329">
        <v>0</v>
      </c>
      <c r="N149" s="329">
        <v>0</v>
      </c>
      <c r="O149" s="330">
        <v>0</v>
      </c>
      <c r="P149" s="330">
        <v>0</v>
      </c>
      <c r="Q149" s="329">
        <v>0</v>
      </c>
      <c r="R149" s="330">
        <v>0</v>
      </c>
      <c r="S149" s="330">
        <v>0</v>
      </c>
      <c r="T149" s="330">
        <v>0</v>
      </c>
      <c r="U149" s="330">
        <v>0</v>
      </c>
      <c r="V149" s="315"/>
    </row>
    <row r="150" spans="1:22">
      <c r="A150" s="306" t="s">
        <v>141</v>
      </c>
      <c r="B150" s="55" t="s">
        <v>539</v>
      </c>
      <c r="C150" s="307">
        <v>0.83881609911783617</v>
      </c>
      <c r="D150" s="308">
        <v>0.94081041326315029</v>
      </c>
      <c r="E150" s="308">
        <v>0.70409439160180409</v>
      </c>
      <c r="F150" s="308">
        <v>0.76942044825056521</v>
      </c>
      <c r="G150" s="308">
        <v>0.68244819196241291</v>
      </c>
      <c r="H150" s="308">
        <v>0.86104526226551692</v>
      </c>
      <c r="I150" s="308">
        <v>0</v>
      </c>
      <c r="J150" s="309">
        <v>0.78614223104660064</v>
      </c>
      <c r="K150" s="309">
        <v>0.52471761675143669</v>
      </c>
      <c r="L150" s="308">
        <v>0</v>
      </c>
      <c r="M150" s="308">
        <v>0</v>
      </c>
      <c r="N150" s="308">
        <v>0</v>
      </c>
      <c r="O150" s="309">
        <v>0.52471761675143669</v>
      </c>
      <c r="P150" s="309">
        <v>0.61294044341152465</v>
      </c>
      <c r="Q150" s="308">
        <v>0</v>
      </c>
      <c r="R150" s="309">
        <v>0.61294044341152465</v>
      </c>
      <c r="S150" s="309">
        <v>0</v>
      </c>
      <c r="T150" s="309">
        <v>0</v>
      </c>
      <c r="U150" s="309">
        <v>0.73951046661013409</v>
      </c>
      <c r="V150" s="315"/>
    </row>
    <row r="151" spans="1:22">
      <c r="A151" s="310"/>
      <c r="B151" s="311" t="s">
        <v>540</v>
      </c>
      <c r="C151" s="312">
        <v>0.56986453213159738</v>
      </c>
      <c r="D151" s="313">
        <v>0.42303874243451312</v>
      </c>
      <c r="E151" s="313">
        <v>0.50187404824352988</v>
      </c>
      <c r="F151" s="313">
        <v>0.59381144548903331</v>
      </c>
      <c r="G151" s="313">
        <v>0.52721679071351601</v>
      </c>
      <c r="H151" s="313">
        <v>0.61067902502329097</v>
      </c>
      <c r="I151" s="313">
        <v>0</v>
      </c>
      <c r="J151" s="314">
        <v>0.54539663540196948</v>
      </c>
      <c r="K151" s="314">
        <v>0.36683602170922208</v>
      </c>
      <c r="L151" s="313">
        <v>0</v>
      </c>
      <c r="M151" s="313">
        <v>0</v>
      </c>
      <c r="N151" s="313">
        <v>0</v>
      </c>
      <c r="O151" s="314">
        <v>0.36683602170922208</v>
      </c>
      <c r="P151" s="314">
        <v>0.44266334009841185</v>
      </c>
      <c r="Q151" s="313">
        <v>0</v>
      </c>
      <c r="R151" s="314">
        <v>0.44266334009841185</v>
      </c>
      <c r="S151" s="314">
        <v>0</v>
      </c>
      <c r="T151" s="314">
        <v>0</v>
      </c>
      <c r="U151" s="314">
        <v>0.5183499861545523</v>
      </c>
      <c r="V151" s="315"/>
    </row>
    <row r="152" spans="1:22">
      <c r="A152" s="310"/>
      <c r="B152" s="316" t="s">
        <v>541</v>
      </c>
      <c r="C152" s="317">
        <v>-26.895156698623879</v>
      </c>
      <c r="D152" s="318">
        <v>-51.77716708286372</v>
      </c>
      <c r="E152" s="318">
        <v>-20.22203433582742</v>
      </c>
      <c r="F152" s="318">
        <v>-17.560900276153191</v>
      </c>
      <c r="G152" s="318">
        <v>-15.523140124889689</v>
      </c>
      <c r="H152" s="318">
        <v>-25.036623724222594</v>
      </c>
      <c r="I152" s="318">
        <v>0</v>
      </c>
      <c r="J152" s="320">
        <v>-24.074559564463115</v>
      </c>
      <c r="K152" s="320">
        <v>-15.788159504221461</v>
      </c>
      <c r="L152" s="318">
        <v>0</v>
      </c>
      <c r="M152" s="318">
        <v>0</v>
      </c>
      <c r="N152" s="318">
        <v>0</v>
      </c>
      <c r="O152" s="320">
        <v>-15.788159504221461</v>
      </c>
      <c r="P152" s="320">
        <v>-17.02771033131128</v>
      </c>
      <c r="Q152" s="318">
        <v>0</v>
      </c>
      <c r="R152" s="320">
        <v>-17.02771033131128</v>
      </c>
      <c r="S152" s="320">
        <v>0</v>
      </c>
      <c r="T152" s="320">
        <v>0</v>
      </c>
      <c r="U152" s="320">
        <v>-22.11604804555818</v>
      </c>
      <c r="V152" s="315"/>
    </row>
    <row r="153" spans="1:22">
      <c r="A153" s="310"/>
      <c r="B153" s="55" t="s">
        <v>542</v>
      </c>
      <c r="C153" s="307">
        <v>1.8553877587014961E-2</v>
      </c>
      <c r="D153" s="308">
        <v>3.4906904216020461E-2</v>
      </c>
      <c r="E153" s="308">
        <v>1.0415935505139228E-2</v>
      </c>
      <c r="F153" s="308">
        <v>1.9806716272663304E-2</v>
      </c>
      <c r="G153" s="308">
        <v>5.0032161534804371E-3</v>
      </c>
      <c r="H153" s="308">
        <v>2.4436758480827551E-2</v>
      </c>
      <c r="I153" s="308">
        <v>0</v>
      </c>
      <c r="J153" s="309">
        <v>1.7336230351676304E-2</v>
      </c>
      <c r="K153" s="309">
        <v>0.18325516876940354</v>
      </c>
      <c r="L153" s="308">
        <v>0</v>
      </c>
      <c r="M153" s="308">
        <v>0</v>
      </c>
      <c r="N153" s="308">
        <v>0</v>
      </c>
      <c r="O153" s="309">
        <v>0.18325516876940354</v>
      </c>
      <c r="P153" s="309">
        <v>0</v>
      </c>
      <c r="Q153" s="308">
        <v>0</v>
      </c>
      <c r="R153" s="309">
        <v>0</v>
      </c>
      <c r="S153" s="309">
        <v>0</v>
      </c>
      <c r="T153" s="309">
        <v>0</v>
      </c>
      <c r="U153" s="309">
        <v>1.8942584913048632E-2</v>
      </c>
      <c r="V153" s="315"/>
    </row>
    <row r="154" spans="1:22">
      <c r="A154" s="310"/>
      <c r="B154" s="311" t="s">
        <v>543</v>
      </c>
      <c r="C154" s="312">
        <v>9.1082969434459031E-3</v>
      </c>
      <c r="D154" s="313">
        <v>7.4485968493016282E-3</v>
      </c>
      <c r="E154" s="313">
        <v>7.0729302687554483E-3</v>
      </c>
      <c r="F154" s="313">
        <v>1.2929213303652876E-2</v>
      </c>
      <c r="G154" s="313">
        <v>4.3327991781081975E-3</v>
      </c>
      <c r="H154" s="313">
        <v>1.8287510380483797E-2</v>
      </c>
      <c r="I154" s="313">
        <v>0</v>
      </c>
      <c r="J154" s="314">
        <v>9.7379434851058034E-3</v>
      </c>
      <c r="K154" s="314">
        <v>0.1108932485474826</v>
      </c>
      <c r="L154" s="313">
        <v>0</v>
      </c>
      <c r="M154" s="313">
        <v>0</v>
      </c>
      <c r="N154" s="313">
        <v>0</v>
      </c>
      <c r="O154" s="314">
        <v>0.1108932485474826</v>
      </c>
      <c r="P154" s="314">
        <v>0</v>
      </c>
      <c r="Q154" s="313">
        <v>0</v>
      </c>
      <c r="R154" s="314">
        <v>0</v>
      </c>
      <c r="S154" s="314">
        <v>0</v>
      </c>
      <c r="T154" s="314">
        <v>0</v>
      </c>
      <c r="U154" s="314">
        <v>1.070585602310921E-2</v>
      </c>
      <c r="V154" s="315"/>
    </row>
    <row r="155" spans="1:22">
      <c r="A155" s="310"/>
      <c r="B155" s="316" t="s">
        <v>544</v>
      </c>
      <c r="C155" s="317">
        <v>-0.94455806435690581</v>
      </c>
      <c r="D155" s="318">
        <v>-2.7458307366718833</v>
      </c>
      <c r="E155" s="318">
        <v>-0.33430052363837803</v>
      </c>
      <c r="F155" s="318">
        <v>-0.68775029690104283</v>
      </c>
      <c r="G155" s="318">
        <v>-6.7041697537223971E-2</v>
      </c>
      <c r="H155" s="318">
        <v>-0.61492481003437538</v>
      </c>
      <c r="I155" s="318">
        <v>0</v>
      </c>
      <c r="J155" s="320">
        <v>-0.75982868665705006</v>
      </c>
      <c r="K155" s="320">
        <v>-7.2361920221920935</v>
      </c>
      <c r="L155" s="318">
        <v>0</v>
      </c>
      <c r="M155" s="318">
        <v>0</v>
      </c>
      <c r="N155" s="318">
        <v>0</v>
      </c>
      <c r="O155" s="320">
        <v>-7.2361920221920935</v>
      </c>
      <c r="P155" s="320">
        <v>0</v>
      </c>
      <c r="Q155" s="318">
        <v>0</v>
      </c>
      <c r="R155" s="320">
        <v>0</v>
      </c>
      <c r="S155" s="320">
        <v>0</v>
      </c>
      <c r="T155" s="320">
        <v>0</v>
      </c>
      <c r="U155" s="320">
        <v>-0.82367288899394209</v>
      </c>
      <c r="V155" s="315"/>
    </row>
    <row r="156" spans="1:22">
      <c r="A156" s="310"/>
      <c r="B156" s="55" t="s">
        <v>545</v>
      </c>
      <c r="C156" s="307">
        <v>0.14263002329514884</v>
      </c>
      <c r="D156" s="308">
        <v>2.4282682520829206E-2</v>
      </c>
      <c r="E156" s="308">
        <v>0.28524956953243258</v>
      </c>
      <c r="F156" s="308">
        <v>0.21031096072941774</v>
      </c>
      <c r="G156" s="308">
        <v>0.30730486338339347</v>
      </c>
      <c r="H156" s="308">
        <v>0.11451797925365551</v>
      </c>
      <c r="I156" s="308">
        <v>0</v>
      </c>
      <c r="J156" s="309">
        <v>0.19609027975569382</v>
      </c>
      <c r="K156" s="309">
        <v>0.2920272144791598</v>
      </c>
      <c r="L156" s="308">
        <v>0</v>
      </c>
      <c r="M156" s="308">
        <v>0</v>
      </c>
      <c r="N156" s="308">
        <v>0</v>
      </c>
      <c r="O156" s="309">
        <v>0.2920272144791598</v>
      </c>
      <c r="P156" s="309">
        <v>0.38131657777123373</v>
      </c>
      <c r="Q156" s="308">
        <v>0</v>
      </c>
      <c r="R156" s="309">
        <v>0.38131657777123373</v>
      </c>
      <c r="S156" s="309">
        <v>0</v>
      </c>
      <c r="T156" s="309">
        <v>0</v>
      </c>
      <c r="U156" s="309">
        <v>0.2399615408170257</v>
      </c>
      <c r="V156" s="315"/>
    </row>
    <row r="157" spans="1:22">
      <c r="A157" s="310"/>
      <c r="B157" s="311" t="s">
        <v>546</v>
      </c>
      <c r="C157" s="312">
        <v>0.42102717092495673</v>
      </c>
      <c r="D157" s="313">
        <v>0.56951266071618534</v>
      </c>
      <c r="E157" s="313">
        <v>0.49089026411592812</v>
      </c>
      <c r="F157" s="313">
        <v>0.39099971484067658</v>
      </c>
      <c r="G157" s="313">
        <v>0.46317399873812809</v>
      </c>
      <c r="H157" s="313">
        <v>0.37103346459622522</v>
      </c>
      <c r="I157" s="313">
        <v>0</v>
      </c>
      <c r="J157" s="314">
        <v>0.44411606388102881</v>
      </c>
      <c r="K157" s="314">
        <v>0.52227072974329536</v>
      </c>
      <c r="L157" s="313">
        <v>0</v>
      </c>
      <c r="M157" s="313">
        <v>0</v>
      </c>
      <c r="N157" s="313">
        <v>0</v>
      </c>
      <c r="O157" s="314">
        <v>0.52227072974329536</v>
      </c>
      <c r="P157" s="314">
        <v>0.5477745651961119</v>
      </c>
      <c r="Q157" s="313">
        <v>0</v>
      </c>
      <c r="R157" s="314">
        <v>0.5477745651961119</v>
      </c>
      <c r="S157" s="314">
        <v>0</v>
      </c>
      <c r="T157" s="314">
        <v>0</v>
      </c>
      <c r="U157" s="314">
        <v>0.46835520019554955</v>
      </c>
      <c r="V157" s="315"/>
    </row>
    <row r="158" spans="1:22">
      <c r="A158" s="310"/>
      <c r="B158" s="316" t="s">
        <v>547</v>
      </c>
      <c r="C158" s="317">
        <v>27.839714762980787</v>
      </c>
      <c r="D158" s="318">
        <v>54.522997819535611</v>
      </c>
      <c r="E158" s="318">
        <v>20.564069458349554</v>
      </c>
      <c r="F158" s="318">
        <v>18.068875411125884</v>
      </c>
      <c r="G158" s="318">
        <v>15.586913535473462</v>
      </c>
      <c r="H158" s="318">
        <v>25.651548534256975</v>
      </c>
      <c r="I158" s="318">
        <v>0</v>
      </c>
      <c r="J158" s="320">
        <v>24.802578412533499</v>
      </c>
      <c r="K158" s="320">
        <v>23.024351526413554</v>
      </c>
      <c r="L158" s="318">
        <v>0</v>
      </c>
      <c r="M158" s="318">
        <v>0</v>
      </c>
      <c r="N158" s="318">
        <v>0</v>
      </c>
      <c r="O158" s="320">
        <v>23.024351526413554</v>
      </c>
      <c r="P158" s="320">
        <v>16.645798742487816</v>
      </c>
      <c r="Q158" s="318">
        <v>0</v>
      </c>
      <c r="R158" s="320">
        <v>16.645798742487816</v>
      </c>
      <c r="S158" s="320">
        <v>0</v>
      </c>
      <c r="T158" s="320">
        <v>0</v>
      </c>
      <c r="U158" s="320">
        <v>22.839365937852385</v>
      </c>
      <c r="V158" s="315"/>
    </row>
    <row r="159" spans="1:22">
      <c r="A159" s="310"/>
      <c r="B159" s="55" t="s">
        <v>548</v>
      </c>
      <c r="C159" s="307">
        <v>0</v>
      </c>
      <c r="D159" s="308">
        <v>0</v>
      </c>
      <c r="E159" s="308">
        <v>1.9508398050709249E-4</v>
      </c>
      <c r="F159" s="308">
        <v>4.8657793481352833E-5</v>
      </c>
      <c r="G159" s="308">
        <v>2.8581816147887126E-3</v>
      </c>
      <c r="H159" s="308">
        <v>0</v>
      </c>
      <c r="I159" s="308">
        <v>0</v>
      </c>
      <c r="J159" s="309">
        <v>2.1505210193562579E-4</v>
      </c>
      <c r="K159" s="309">
        <v>0</v>
      </c>
      <c r="L159" s="308">
        <v>0</v>
      </c>
      <c r="M159" s="308">
        <v>0</v>
      </c>
      <c r="N159" s="308">
        <v>0</v>
      </c>
      <c r="O159" s="309">
        <v>0</v>
      </c>
      <c r="P159" s="309">
        <v>5.7429788172416304E-3</v>
      </c>
      <c r="Q159" s="308">
        <v>0</v>
      </c>
      <c r="R159" s="309">
        <v>5.7429788172416304E-3</v>
      </c>
      <c r="S159" s="309">
        <v>0</v>
      </c>
      <c r="T159" s="309">
        <v>0</v>
      </c>
      <c r="U159" s="309">
        <v>1.4238140914193478E-3</v>
      </c>
      <c r="V159" s="315"/>
    </row>
    <row r="160" spans="1:22">
      <c r="A160" s="310"/>
      <c r="B160" s="311" t="s">
        <v>549</v>
      </c>
      <c r="C160" s="312">
        <v>0</v>
      </c>
      <c r="D160" s="313">
        <v>0</v>
      </c>
      <c r="E160" s="313">
        <v>1.2580957761655859E-4</v>
      </c>
      <c r="F160" s="313">
        <v>1.5721087308021337E-3</v>
      </c>
      <c r="G160" s="313">
        <v>2.0491460030485934E-3</v>
      </c>
      <c r="H160" s="313">
        <v>0</v>
      </c>
      <c r="I160" s="313">
        <v>0</v>
      </c>
      <c r="J160" s="314">
        <v>4.4249793617553523E-4</v>
      </c>
      <c r="K160" s="314">
        <v>0</v>
      </c>
      <c r="L160" s="313">
        <v>0</v>
      </c>
      <c r="M160" s="313">
        <v>0</v>
      </c>
      <c r="N160" s="313">
        <v>0</v>
      </c>
      <c r="O160" s="314">
        <v>0</v>
      </c>
      <c r="P160" s="314">
        <v>9.5620947054762886E-3</v>
      </c>
      <c r="Q160" s="313">
        <v>0</v>
      </c>
      <c r="R160" s="314">
        <v>9.5620947054762886E-3</v>
      </c>
      <c r="S160" s="314">
        <v>0</v>
      </c>
      <c r="T160" s="314">
        <v>0</v>
      </c>
      <c r="U160" s="314">
        <v>2.3561112792437181E-3</v>
      </c>
      <c r="V160" s="315"/>
    </row>
    <row r="161" spans="1:22">
      <c r="A161" s="310"/>
      <c r="B161" s="316" t="s">
        <v>550</v>
      </c>
      <c r="C161" s="317">
        <v>0</v>
      </c>
      <c r="D161" s="318">
        <v>0</v>
      </c>
      <c r="E161" s="318">
        <v>-6.9274402890533897E-3</v>
      </c>
      <c r="F161" s="318">
        <v>0.15234509373207808</v>
      </c>
      <c r="G161" s="318">
        <v>-8.0903561174011915E-2</v>
      </c>
      <c r="H161" s="318">
        <v>0</v>
      </c>
      <c r="I161" s="318">
        <v>0</v>
      </c>
      <c r="J161" s="320">
        <v>2.2744583423990945E-2</v>
      </c>
      <c r="K161" s="320">
        <v>0</v>
      </c>
      <c r="L161" s="318">
        <v>0</v>
      </c>
      <c r="M161" s="318">
        <v>0</v>
      </c>
      <c r="N161" s="318">
        <v>0</v>
      </c>
      <c r="O161" s="320">
        <v>0</v>
      </c>
      <c r="P161" s="320">
        <v>0.38191158882346582</v>
      </c>
      <c r="Q161" s="318">
        <v>0</v>
      </c>
      <c r="R161" s="320">
        <v>0.38191158882346582</v>
      </c>
      <c r="S161" s="320">
        <v>0</v>
      </c>
      <c r="T161" s="320">
        <v>0</v>
      </c>
      <c r="U161" s="320">
        <v>9.3229718782437035E-2</v>
      </c>
      <c r="V161" s="315"/>
    </row>
    <row r="162" spans="1:22">
      <c r="A162" s="310"/>
      <c r="B162" s="55" t="s">
        <v>551</v>
      </c>
      <c r="C162" s="307">
        <v>0</v>
      </c>
      <c r="D162" s="308">
        <v>0</v>
      </c>
      <c r="E162" s="308">
        <v>4.5019380117021345E-5</v>
      </c>
      <c r="F162" s="308">
        <v>4.1321695387241177E-4</v>
      </c>
      <c r="G162" s="308">
        <v>2.3855468859244342E-3</v>
      </c>
      <c r="H162" s="308">
        <v>0</v>
      </c>
      <c r="I162" s="308">
        <v>0</v>
      </c>
      <c r="J162" s="309">
        <v>2.1620674409366942E-4</v>
      </c>
      <c r="K162" s="309">
        <v>0</v>
      </c>
      <c r="L162" s="308">
        <v>0</v>
      </c>
      <c r="M162" s="308">
        <v>0</v>
      </c>
      <c r="N162" s="308">
        <v>0</v>
      </c>
      <c r="O162" s="309">
        <v>0</v>
      </c>
      <c r="P162" s="309">
        <v>0</v>
      </c>
      <c r="Q162" s="308">
        <v>0</v>
      </c>
      <c r="R162" s="309">
        <v>0</v>
      </c>
      <c r="S162" s="309">
        <v>0</v>
      </c>
      <c r="T162" s="309">
        <v>0</v>
      </c>
      <c r="U162" s="309">
        <v>1.6159356837231479E-4</v>
      </c>
      <c r="V162" s="315"/>
    </row>
    <row r="163" spans="1:22">
      <c r="A163" s="310"/>
      <c r="B163" s="311" t="s">
        <v>552</v>
      </c>
      <c r="C163" s="312">
        <v>0</v>
      </c>
      <c r="D163" s="313">
        <v>0</v>
      </c>
      <c r="E163" s="313">
        <v>3.6947794169918695E-5</v>
      </c>
      <c r="F163" s="313">
        <v>6.8751763583512122E-4</v>
      </c>
      <c r="G163" s="313">
        <v>3.227265367199147E-3</v>
      </c>
      <c r="H163" s="313">
        <v>0</v>
      </c>
      <c r="I163" s="313">
        <v>0</v>
      </c>
      <c r="J163" s="314">
        <v>3.0685929572031324E-4</v>
      </c>
      <c r="K163" s="314">
        <v>0</v>
      </c>
      <c r="L163" s="313">
        <v>0</v>
      </c>
      <c r="M163" s="313">
        <v>0</v>
      </c>
      <c r="N163" s="313">
        <v>0</v>
      </c>
      <c r="O163" s="314">
        <v>0</v>
      </c>
      <c r="P163" s="314">
        <v>0</v>
      </c>
      <c r="Q163" s="313">
        <v>0</v>
      </c>
      <c r="R163" s="314">
        <v>0</v>
      </c>
      <c r="S163" s="314">
        <v>0</v>
      </c>
      <c r="T163" s="314">
        <v>0</v>
      </c>
      <c r="U163" s="314">
        <v>2.3284634754535462E-4</v>
      </c>
      <c r="V163" s="315"/>
    </row>
    <row r="164" spans="1:22">
      <c r="A164" s="310"/>
      <c r="B164" s="316" t="s">
        <v>553</v>
      </c>
      <c r="C164" s="317">
        <v>0</v>
      </c>
      <c r="D164" s="318">
        <v>0</v>
      </c>
      <c r="E164" s="318">
        <v>-8.0715859471026507E-4</v>
      </c>
      <c r="F164" s="318">
        <v>2.7430068196270946E-2</v>
      </c>
      <c r="G164" s="318">
        <v>8.4171848127471277E-2</v>
      </c>
      <c r="H164" s="318">
        <v>0</v>
      </c>
      <c r="I164" s="318">
        <v>0</v>
      </c>
      <c r="J164" s="320">
        <v>9.0652551626643815E-3</v>
      </c>
      <c r="K164" s="320">
        <v>0</v>
      </c>
      <c r="L164" s="318">
        <v>0</v>
      </c>
      <c r="M164" s="318">
        <v>0</v>
      </c>
      <c r="N164" s="318">
        <v>0</v>
      </c>
      <c r="O164" s="320">
        <v>0</v>
      </c>
      <c r="P164" s="320">
        <v>0</v>
      </c>
      <c r="Q164" s="318">
        <v>0</v>
      </c>
      <c r="R164" s="320">
        <v>0</v>
      </c>
      <c r="S164" s="320">
        <v>0</v>
      </c>
      <c r="T164" s="320">
        <v>0</v>
      </c>
      <c r="U164" s="320">
        <v>7.1252779173039838E-3</v>
      </c>
      <c r="V164" s="315"/>
    </row>
    <row r="165" spans="1:22">
      <c r="A165" s="310"/>
      <c r="B165" s="55" t="s">
        <v>554</v>
      </c>
      <c r="C165" s="307">
        <v>0</v>
      </c>
      <c r="D165" s="308">
        <v>0</v>
      </c>
      <c r="E165" s="308">
        <v>0</v>
      </c>
      <c r="F165" s="308">
        <v>0</v>
      </c>
      <c r="G165" s="308">
        <v>0</v>
      </c>
      <c r="H165" s="308">
        <v>0</v>
      </c>
      <c r="I165" s="308">
        <v>0</v>
      </c>
      <c r="J165" s="309">
        <v>0</v>
      </c>
      <c r="K165" s="309">
        <v>0</v>
      </c>
      <c r="L165" s="308">
        <v>0</v>
      </c>
      <c r="M165" s="308">
        <v>0</v>
      </c>
      <c r="N165" s="308">
        <v>0</v>
      </c>
      <c r="O165" s="309">
        <v>0</v>
      </c>
      <c r="P165" s="309">
        <v>0</v>
      </c>
      <c r="Q165" s="308">
        <v>0</v>
      </c>
      <c r="R165" s="309">
        <v>0</v>
      </c>
      <c r="S165" s="309">
        <v>0</v>
      </c>
      <c r="T165" s="309">
        <v>0</v>
      </c>
      <c r="U165" s="309">
        <v>0</v>
      </c>
      <c r="V165" s="315"/>
    </row>
    <row r="166" spans="1:22">
      <c r="A166" s="310"/>
      <c r="B166" s="311" t="s">
        <v>555</v>
      </c>
      <c r="C166" s="312">
        <v>0</v>
      </c>
      <c r="D166" s="313">
        <v>0</v>
      </c>
      <c r="E166" s="313">
        <v>0</v>
      </c>
      <c r="F166" s="313">
        <v>0</v>
      </c>
      <c r="G166" s="313">
        <v>0</v>
      </c>
      <c r="H166" s="313">
        <v>0</v>
      </c>
      <c r="I166" s="313">
        <v>0</v>
      </c>
      <c r="J166" s="314">
        <v>0</v>
      </c>
      <c r="K166" s="314">
        <v>0</v>
      </c>
      <c r="L166" s="313">
        <v>0</v>
      </c>
      <c r="M166" s="313">
        <v>0</v>
      </c>
      <c r="N166" s="313">
        <v>0</v>
      </c>
      <c r="O166" s="314">
        <v>0</v>
      </c>
      <c r="P166" s="314">
        <v>0</v>
      </c>
      <c r="Q166" s="313">
        <v>0</v>
      </c>
      <c r="R166" s="314">
        <v>0</v>
      </c>
      <c r="S166" s="314">
        <v>0</v>
      </c>
      <c r="T166" s="314">
        <v>0</v>
      </c>
      <c r="U166" s="314">
        <v>0</v>
      </c>
      <c r="V166" s="315"/>
    </row>
    <row r="167" spans="1:22" ht="15" thickBot="1">
      <c r="A167" s="310"/>
      <c r="B167" s="322" t="s">
        <v>556</v>
      </c>
      <c r="C167" s="323">
        <v>0</v>
      </c>
      <c r="D167" s="324">
        <v>0</v>
      </c>
      <c r="E167" s="324">
        <v>0</v>
      </c>
      <c r="F167" s="324">
        <v>0</v>
      </c>
      <c r="G167" s="324">
        <v>0</v>
      </c>
      <c r="H167" s="324">
        <v>0</v>
      </c>
      <c r="I167" s="324">
        <v>0</v>
      </c>
      <c r="J167" s="325">
        <v>0</v>
      </c>
      <c r="K167" s="325">
        <v>0</v>
      </c>
      <c r="L167" s="324">
        <v>0</v>
      </c>
      <c r="M167" s="324">
        <v>0</v>
      </c>
      <c r="N167" s="324">
        <v>0</v>
      </c>
      <c r="O167" s="325">
        <v>0</v>
      </c>
      <c r="P167" s="325">
        <v>0</v>
      </c>
      <c r="Q167" s="324">
        <v>0</v>
      </c>
      <c r="R167" s="325">
        <v>0</v>
      </c>
      <c r="S167" s="325">
        <v>0</v>
      </c>
      <c r="T167" s="325">
        <v>0</v>
      </c>
      <c r="U167" s="325">
        <v>0</v>
      </c>
      <c r="V167" s="315"/>
    </row>
    <row r="168" spans="1:22" ht="15" thickTop="1">
      <c r="A168" s="310"/>
      <c r="B168" s="311" t="s">
        <v>557</v>
      </c>
      <c r="C168" s="312">
        <v>0.68063939217201774</v>
      </c>
      <c r="D168" s="313">
        <v>0.65986664201508094</v>
      </c>
      <c r="E168" s="313">
        <v>0.29455654165123524</v>
      </c>
      <c r="F168" s="313">
        <v>0.70902739171316598</v>
      </c>
      <c r="G168" s="313">
        <v>0.43910191384324071</v>
      </c>
      <c r="H168" s="313">
        <v>0</v>
      </c>
      <c r="I168" s="313">
        <v>0</v>
      </c>
      <c r="J168" s="314">
        <v>0.61984985330577458</v>
      </c>
      <c r="K168" s="314">
        <v>0</v>
      </c>
      <c r="L168" s="313">
        <v>0</v>
      </c>
      <c r="M168" s="313">
        <v>0</v>
      </c>
      <c r="N168" s="313">
        <v>0</v>
      </c>
      <c r="O168" s="314">
        <v>0</v>
      </c>
      <c r="P168" s="314">
        <v>0</v>
      </c>
      <c r="Q168" s="313">
        <v>0</v>
      </c>
      <c r="R168" s="314">
        <v>0</v>
      </c>
      <c r="S168" s="314">
        <v>0</v>
      </c>
      <c r="T168" s="314">
        <v>0</v>
      </c>
      <c r="U168" s="314">
        <v>0.61984985330577458</v>
      </c>
      <c r="V168" s="315"/>
    </row>
    <row r="169" spans="1:22">
      <c r="A169" s="310"/>
      <c r="B169" s="311" t="s">
        <v>558</v>
      </c>
      <c r="C169" s="312">
        <v>0.51679182198872686</v>
      </c>
      <c r="D169" s="313">
        <v>0.38817247419851841</v>
      </c>
      <c r="E169" s="313">
        <v>0.20360750107496686</v>
      </c>
      <c r="F169" s="313">
        <v>0.56307083051947626</v>
      </c>
      <c r="G169" s="313">
        <v>0.23658974200334096</v>
      </c>
      <c r="H169" s="313">
        <v>0</v>
      </c>
      <c r="I169" s="313">
        <v>0</v>
      </c>
      <c r="J169" s="314">
        <v>0.43911910047944785</v>
      </c>
      <c r="K169" s="314">
        <v>0</v>
      </c>
      <c r="L169" s="313">
        <v>0</v>
      </c>
      <c r="M169" s="313">
        <v>0</v>
      </c>
      <c r="N169" s="313">
        <v>0</v>
      </c>
      <c r="O169" s="314">
        <v>0</v>
      </c>
      <c r="P169" s="314">
        <v>0</v>
      </c>
      <c r="Q169" s="313">
        <v>0</v>
      </c>
      <c r="R169" s="314">
        <v>0</v>
      </c>
      <c r="S169" s="314">
        <v>0</v>
      </c>
      <c r="T169" s="314">
        <v>0</v>
      </c>
      <c r="U169" s="314">
        <v>0.43911910047944785</v>
      </c>
      <c r="V169" s="315"/>
    </row>
    <row r="170" spans="1:22">
      <c r="A170" s="310"/>
      <c r="B170" s="316" t="s">
        <v>559</v>
      </c>
      <c r="C170" s="317">
        <v>-16.38475701832909</v>
      </c>
      <c r="D170" s="318">
        <v>-27.169416781656253</v>
      </c>
      <c r="E170" s="318">
        <v>-9.0949040576268381</v>
      </c>
      <c r="F170" s="318">
        <v>-14.595656119368972</v>
      </c>
      <c r="G170" s="318">
        <v>-20.251217183989976</v>
      </c>
      <c r="H170" s="318">
        <v>0</v>
      </c>
      <c r="I170" s="318">
        <v>0</v>
      </c>
      <c r="J170" s="320">
        <v>-18.073075282632672</v>
      </c>
      <c r="K170" s="320">
        <v>0</v>
      </c>
      <c r="L170" s="318">
        <v>0</v>
      </c>
      <c r="M170" s="318">
        <v>0</v>
      </c>
      <c r="N170" s="318">
        <v>0</v>
      </c>
      <c r="O170" s="320">
        <v>0</v>
      </c>
      <c r="P170" s="320">
        <v>0</v>
      </c>
      <c r="Q170" s="318">
        <v>0</v>
      </c>
      <c r="R170" s="320">
        <v>0</v>
      </c>
      <c r="S170" s="320">
        <v>0</v>
      </c>
      <c r="T170" s="320">
        <v>0</v>
      </c>
      <c r="U170" s="320">
        <v>-18.073075282632672</v>
      </c>
      <c r="V170" s="315"/>
    </row>
    <row r="171" spans="1:22">
      <c r="A171" s="310"/>
      <c r="B171" s="55" t="s">
        <v>560</v>
      </c>
      <c r="C171" s="307">
        <v>0.25005709846541452</v>
      </c>
      <c r="D171" s="308">
        <v>8.1563052416099256E-3</v>
      </c>
      <c r="E171" s="308">
        <v>8.8941553164225157E-3</v>
      </c>
      <c r="F171" s="308">
        <v>5.130712898332887E-2</v>
      </c>
      <c r="G171" s="308">
        <v>0.10306350172448772</v>
      </c>
      <c r="H171" s="308">
        <v>0</v>
      </c>
      <c r="I171" s="308">
        <v>0</v>
      </c>
      <c r="J171" s="309">
        <v>0.10565560924793296</v>
      </c>
      <c r="K171" s="309">
        <v>0</v>
      </c>
      <c r="L171" s="308">
        <v>0</v>
      </c>
      <c r="M171" s="308">
        <v>0</v>
      </c>
      <c r="N171" s="308">
        <v>0</v>
      </c>
      <c r="O171" s="309">
        <v>0</v>
      </c>
      <c r="P171" s="309">
        <v>0</v>
      </c>
      <c r="Q171" s="308">
        <v>0</v>
      </c>
      <c r="R171" s="309">
        <v>0</v>
      </c>
      <c r="S171" s="309">
        <v>0</v>
      </c>
      <c r="T171" s="309">
        <v>0</v>
      </c>
      <c r="U171" s="309">
        <v>0.10565560924793296</v>
      </c>
      <c r="V171" s="315"/>
    </row>
    <row r="172" spans="1:22">
      <c r="A172" s="310"/>
      <c r="B172" s="311" t="s">
        <v>561</v>
      </c>
      <c r="C172" s="312">
        <v>0.1634403615190522</v>
      </c>
      <c r="D172" s="313">
        <v>7.6302613234145731E-3</v>
      </c>
      <c r="E172" s="313">
        <v>5.4143229463745101E-3</v>
      </c>
      <c r="F172" s="313">
        <v>4.309626997292141E-2</v>
      </c>
      <c r="G172" s="313">
        <v>0.10097135432778569</v>
      </c>
      <c r="H172" s="313">
        <v>0</v>
      </c>
      <c r="I172" s="313">
        <v>0</v>
      </c>
      <c r="J172" s="314">
        <v>7.0112095437710492E-2</v>
      </c>
      <c r="K172" s="314">
        <v>0</v>
      </c>
      <c r="L172" s="313">
        <v>0</v>
      </c>
      <c r="M172" s="313">
        <v>0</v>
      </c>
      <c r="N172" s="313">
        <v>0</v>
      </c>
      <c r="O172" s="314">
        <v>0</v>
      </c>
      <c r="P172" s="314">
        <v>0</v>
      </c>
      <c r="Q172" s="313">
        <v>0</v>
      </c>
      <c r="R172" s="314">
        <v>0</v>
      </c>
      <c r="S172" s="314">
        <v>0</v>
      </c>
      <c r="T172" s="314">
        <v>0</v>
      </c>
      <c r="U172" s="314">
        <v>7.0112095437710492E-2</v>
      </c>
      <c r="V172" s="315"/>
    </row>
    <row r="173" spans="1:22">
      <c r="A173" s="310"/>
      <c r="B173" s="316" t="s">
        <v>562</v>
      </c>
      <c r="C173" s="317">
        <v>-8.6616736946362316</v>
      </c>
      <c r="D173" s="318">
        <v>-5.2604391819535259E-2</v>
      </c>
      <c r="E173" s="318">
        <v>-0.34798323700480055</v>
      </c>
      <c r="F173" s="318">
        <v>-0.82108590104074608</v>
      </c>
      <c r="G173" s="318">
        <v>-0.20921473967020349</v>
      </c>
      <c r="H173" s="318">
        <v>0</v>
      </c>
      <c r="I173" s="318">
        <v>0</v>
      </c>
      <c r="J173" s="320">
        <v>-3.5543513810222471</v>
      </c>
      <c r="K173" s="320">
        <v>0</v>
      </c>
      <c r="L173" s="318">
        <v>0</v>
      </c>
      <c r="M173" s="318">
        <v>0</v>
      </c>
      <c r="N173" s="318">
        <v>0</v>
      </c>
      <c r="O173" s="320">
        <v>0</v>
      </c>
      <c r="P173" s="320">
        <v>0</v>
      </c>
      <c r="Q173" s="318">
        <v>0</v>
      </c>
      <c r="R173" s="320">
        <v>0</v>
      </c>
      <c r="S173" s="320">
        <v>0</v>
      </c>
      <c r="T173" s="320">
        <v>0</v>
      </c>
      <c r="U173" s="320">
        <v>-3.5543513810222471</v>
      </c>
      <c r="V173" s="315"/>
    </row>
    <row r="174" spans="1:22">
      <c r="A174" s="310"/>
      <c r="B174" s="55" t="s">
        <v>563</v>
      </c>
      <c r="C174" s="307">
        <v>6.9303509362567753E-2</v>
      </c>
      <c r="D174" s="308">
        <v>0.33197705274330913</v>
      </c>
      <c r="E174" s="308">
        <v>0.69639400825697617</v>
      </c>
      <c r="F174" s="308">
        <v>0.2396448891908772</v>
      </c>
      <c r="G174" s="308">
        <v>0.45431798201122608</v>
      </c>
      <c r="H174" s="308">
        <v>0</v>
      </c>
      <c r="I174" s="308">
        <v>0</v>
      </c>
      <c r="J174" s="309">
        <v>0.27442957163686998</v>
      </c>
      <c r="K174" s="309">
        <v>0</v>
      </c>
      <c r="L174" s="308">
        <v>0</v>
      </c>
      <c r="M174" s="308">
        <v>0</v>
      </c>
      <c r="N174" s="308">
        <v>0</v>
      </c>
      <c r="O174" s="309">
        <v>0</v>
      </c>
      <c r="P174" s="309">
        <v>0</v>
      </c>
      <c r="Q174" s="308">
        <v>0</v>
      </c>
      <c r="R174" s="309">
        <v>0</v>
      </c>
      <c r="S174" s="309">
        <v>0</v>
      </c>
      <c r="T174" s="309">
        <v>0</v>
      </c>
      <c r="U174" s="309">
        <v>0.27442957163686998</v>
      </c>
      <c r="V174" s="315"/>
    </row>
    <row r="175" spans="1:22">
      <c r="A175" s="310"/>
      <c r="B175" s="311" t="s">
        <v>564</v>
      </c>
      <c r="C175" s="312">
        <v>0.31976781649222091</v>
      </c>
      <c r="D175" s="313">
        <v>0.60419726447806699</v>
      </c>
      <c r="E175" s="313">
        <v>0.79078073308353147</v>
      </c>
      <c r="F175" s="313">
        <v>0.39378372530635525</v>
      </c>
      <c r="G175" s="313">
        <v>0.66052094289426466</v>
      </c>
      <c r="H175" s="313">
        <v>0</v>
      </c>
      <c r="I175" s="313">
        <v>0</v>
      </c>
      <c r="J175" s="314">
        <v>0.49070657898443715</v>
      </c>
      <c r="K175" s="314">
        <v>0</v>
      </c>
      <c r="L175" s="313">
        <v>0</v>
      </c>
      <c r="M175" s="313">
        <v>0</v>
      </c>
      <c r="N175" s="313">
        <v>0</v>
      </c>
      <c r="O175" s="314">
        <v>0</v>
      </c>
      <c r="P175" s="314">
        <v>0</v>
      </c>
      <c r="Q175" s="313">
        <v>0</v>
      </c>
      <c r="R175" s="314">
        <v>0</v>
      </c>
      <c r="S175" s="314">
        <v>0</v>
      </c>
      <c r="T175" s="314">
        <v>0</v>
      </c>
      <c r="U175" s="314">
        <v>0.49070657898443715</v>
      </c>
      <c r="V175" s="315"/>
    </row>
    <row r="176" spans="1:22">
      <c r="A176" s="310"/>
      <c r="B176" s="316" t="s">
        <v>565</v>
      </c>
      <c r="C176" s="317">
        <v>25.046430712965318</v>
      </c>
      <c r="D176" s="318">
        <v>27.222021173475785</v>
      </c>
      <c r="E176" s="318">
        <v>9.4386724826555302</v>
      </c>
      <c r="F176" s="318">
        <v>15.413883611547805</v>
      </c>
      <c r="G176" s="318">
        <v>20.620296088303856</v>
      </c>
      <c r="H176" s="318">
        <v>0</v>
      </c>
      <c r="I176" s="318">
        <v>0</v>
      </c>
      <c r="J176" s="320">
        <v>21.627700734756715</v>
      </c>
      <c r="K176" s="320">
        <v>0</v>
      </c>
      <c r="L176" s="318">
        <v>0</v>
      </c>
      <c r="M176" s="318">
        <v>0</v>
      </c>
      <c r="N176" s="318">
        <v>0</v>
      </c>
      <c r="O176" s="320">
        <v>0</v>
      </c>
      <c r="P176" s="320">
        <v>0</v>
      </c>
      <c r="Q176" s="318">
        <v>0</v>
      </c>
      <c r="R176" s="320">
        <v>0</v>
      </c>
      <c r="S176" s="320">
        <v>0</v>
      </c>
      <c r="T176" s="320">
        <v>0</v>
      </c>
      <c r="U176" s="320">
        <v>21.627700734756715</v>
      </c>
      <c r="V176" s="315"/>
    </row>
    <row r="177" spans="1:22">
      <c r="A177" s="310"/>
      <c r="B177" s="55" t="s">
        <v>566</v>
      </c>
      <c r="C177" s="307">
        <v>0</v>
      </c>
      <c r="D177" s="308">
        <v>0</v>
      </c>
      <c r="E177" s="308">
        <v>1.2705936166317879E-4</v>
      </c>
      <c r="F177" s="308">
        <v>0</v>
      </c>
      <c r="G177" s="308">
        <v>0</v>
      </c>
      <c r="H177" s="308">
        <v>0</v>
      </c>
      <c r="I177" s="308">
        <v>0</v>
      </c>
      <c r="J177" s="309">
        <v>1.9275569828678737E-5</v>
      </c>
      <c r="K177" s="309">
        <v>0</v>
      </c>
      <c r="L177" s="308">
        <v>0</v>
      </c>
      <c r="M177" s="308">
        <v>0</v>
      </c>
      <c r="N177" s="308">
        <v>0</v>
      </c>
      <c r="O177" s="309">
        <v>0</v>
      </c>
      <c r="P177" s="309">
        <v>0</v>
      </c>
      <c r="Q177" s="308">
        <v>0</v>
      </c>
      <c r="R177" s="309">
        <v>0</v>
      </c>
      <c r="S177" s="309">
        <v>0</v>
      </c>
      <c r="T177" s="309">
        <v>0</v>
      </c>
      <c r="U177" s="309">
        <v>1.9275569828678737E-5</v>
      </c>
      <c r="V177" s="315"/>
    </row>
    <row r="178" spans="1:22">
      <c r="A178" s="310"/>
      <c r="B178" s="311" t="s">
        <v>567</v>
      </c>
      <c r="C178" s="312">
        <v>0</v>
      </c>
      <c r="D178" s="313">
        <v>0</v>
      </c>
      <c r="E178" s="313">
        <v>1.9744289512710935E-4</v>
      </c>
      <c r="F178" s="313">
        <v>4.9174201247057742E-5</v>
      </c>
      <c r="G178" s="313">
        <v>0</v>
      </c>
      <c r="H178" s="313">
        <v>0</v>
      </c>
      <c r="I178" s="313">
        <v>0</v>
      </c>
      <c r="J178" s="314">
        <v>4.1027537409592405E-5</v>
      </c>
      <c r="K178" s="314">
        <v>0</v>
      </c>
      <c r="L178" s="313">
        <v>0</v>
      </c>
      <c r="M178" s="313">
        <v>0</v>
      </c>
      <c r="N178" s="313">
        <v>0</v>
      </c>
      <c r="O178" s="314">
        <v>0</v>
      </c>
      <c r="P178" s="314">
        <v>0</v>
      </c>
      <c r="Q178" s="313">
        <v>0</v>
      </c>
      <c r="R178" s="314">
        <v>0</v>
      </c>
      <c r="S178" s="314">
        <v>0</v>
      </c>
      <c r="T178" s="314">
        <v>0</v>
      </c>
      <c r="U178" s="314">
        <v>4.1027537409592405E-5</v>
      </c>
      <c r="V178" s="315"/>
    </row>
    <row r="179" spans="1:22">
      <c r="A179" s="310"/>
      <c r="B179" s="316" t="s">
        <v>568</v>
      </c>
      <c r="C179" s="317">
        <v>0</v>
      </c>
      <c r="D179" s="318">
        <v>0</v>
      </c>
      <c r="E179" s="318">
        <v>7.0383533463930564E-3</v>
      </c>
      <c r="F179" s="318">
        <v>0</v>
      </c>
      <c r="G179" s="318">
        <v>0</v>
      </c>
      <c r="H179" s="318">
        <v>0</v>
      </c>
      <c r="I179" s="318">
        <v>0</v>
      </c>
      <c r="J179" s="320">
        <v>2.1751967580913669E-3</v>
      </c>
      <c r="K179" s="320">
        <v>0</v>
      </c>
      <c r="L179" s="318">
        <v>0</v>
      </c>
      <c r="M179" s="318">
        <v>0</v>
      </c>
      <c r="N179" s="318">
        <v>0</v>
      </c>
      <c r="O179" s="320">
        <v>0</v>
      </c>
      <c r="P179" s="320">
        <v>0</v>
      </c>
      <c r="Q179" s="318">
        <v>0</v>
      </c>
      <c r="R179" s="320">
        <v>0</v>
      </c>
      <c r="S179" s="320">
        <v>0</v>
      </c>
      <c r="T179" s="320">
        <v>0</v>
      </c>
      <c r="U179" s="320">
        <v>2.1751967580913669E-3</v>
      </c>
      <c r="V179" s="315"/>
    </row>
    <row r="180" spans="1:22">
      <c r="A180" s="310"/>
      <c r="B180" s="55" t="s">
        <v>569</v>
      </c>
      <c r="C180" s="307">
        <v>0</v>
      </c>
      <c r="D180" s="308">
        <v>0</v>
      </c>
      <c r="E180" s="308">
        <v>2.8235413702928624E-5</v>
      </c>
      <c r="F180" s="308">
        <v>2.0590112627916075E-5</v>
      </c>
      <c r="G180" s="308">
        <v>3.5166024210455129E-3</v>
      </c>
      <c r="H180" s="308">
        <v>0</v>
      </c>
      <c r="I180" s="308">
        <v>0</v>
      </c>
      <c r="J180" s="309">
        <v>4.5690239593905159E-5</v>
      </c>
      <c r="K180" s="309">
        <v>0</v>
      </c>
      <c r="L180" s="308">
        <v>0</v>
      </c>
      <c r="M180" s="308">
        <v>0</v>
      </c>
      <c r="N180" s="308">
        <v>0</v>
      </c>
      <c r="O180" s="309">
        <v>0</v>
      </c>
      <c r="P180" s="309">
        <v>0</v>
      </c>
      <c r="Q180" s="308">
        <v>0</v>
      </c>
      <c r="R180" s="309">
        <v>0</v>
      </c>
      <c r="S180" s="309">
        <v>0</v>
      </c>
      <c r="T180" s="309">
        <v>0</v>
      </c>
      <c r="U180" s="309">
        <v>4.5690239593905159E-5</v>
      </c>
      <c r="V180" s="315"/>
    </row>
    <row r="181" spans="1:22">
      <c r="A181" s="310"/>
      <c r="B181" s="311" t="s">
        <v>570</v>
      </c>
      <c r="C181" s="312">
        <v>0</v>
      </c>
      <c r="D181" s="313">
        <v>0</v>
      </c>
      <c r="E181" s="313">
        <v>0</v>
      </c>
      <c r="F181" s="313">
        <v>0</v>
      </c>
      <c r="G181" s="313">
        <v>1.9179607746086741E-3</v>
      </c>
      <c r="H181" s="313">
        <v>0</v>
      </c>
      <c r="I181" s="313">
        <v>0</v>
      </c>
      <c r="J181" s="314">
        <v>2.1197560994956076E-5</v>
      </c>
      <c r="K181" s="314">
        <v>0</v>
      </c>
      <c r="L181" s="313">
        <v>0</v>
      </c>
      <c r="M181" s="313">
        <v>0</v>
      </c>
      <c r="N181" s="313">
        <v>0</v>
      </c>
      <c r="O181" s="314">
        <v>0</v>
      </c>
      <c r="P181" s="314">
        <v>0</v>
      </c>
      <c r="Q181" s="313">
        <v>0</v>
      </c>
      <c r="R181" s="314">
        <v>0</v>
      </c>
      <c r="S181" s="314">
        <v>0</v>
      </c>
      <c r="T181" s="314">
        <v>0</v>
      </c>
      <c r="U181" s="314">
        <v>2.1197560994956076E-5</v>
      </c>
      <c r="V181" s="315"/>
    </row>
    <row r="182" spans="1:22">
      <c r="A182" s="310"/>
      <c r="B182" s="316" t="s">
        <v>571</v>
      </c>
      <c r="C182" s="317">
        <v>0</v>
      </c>
      <c r="D182" s="318">
        <v>0</v>
      </c>
      <c r="E182" s="318">
        <v>-2.8235413702928625E-3</v>
      </c>
      <c r="F182" s="318">
        <v>-2.0590112627916074E-3</v>
      </c>
      <c r="G182" s="318">
        <v>-0.15986416464368389</v>
      </c>
      <c r="H182" s="318">
        <v>0</v>
      </c>
      <c r="I182" s="318">
        <v>0</v>
      </c>
      <c r="J182" s="320">
        <v>-2.4492678598949081E-3</v>
      </c>
      <c r="K182" s="320">
        <v>0</v>
      </c>
      <c r="L182" s="318">
        <v>0</v>
      </c>
      <c r="M182" s="318">
        <v>0</v>
      </c>
      <c r="N182" s="318">
        <v>0</v>
      </c>
      <c r="O182" s="320">
        <v>0</v>
      </c>
      <c r="P182" s="320">
        <v>0</v>
      </c>
      <c r="Q182" s="318">
        <v>0</v>
      </c>
      <c r="R182" s="320">
        <v>0</v>
      </c>
      <c r="S182" s="320">
        <v>0</v>
      </c>
      <c r="T182" s="320">
        <v>0</v>
      </c>
      <c r="U182" s="320">
        <v>-2.4492678598949081E-3</v>
      </c>
      <c r="V182" s="315"/>
    </row>
    <row r="183" spans="1:22">
      <c r="A183" s="310"/>
      <c r="B183" s="55" t="s">
        <v>572</v>
      </c>
      <c r="C183" s="307">
        <v>0</v>
      </c>
      <c r="D183" s="308">
        <v>0</v>
      </c>
      <c r="E183" s="308">
        <v>0</v>
      </c>
      <c r="F183" s="308">
        <v>0</v>
      </c>
      <c r="G183" s="308">
        <v>0</v>
      </c>
      <c r="H183" s="308">
        <v>0</v>
      </c>
      <c r="I183" s="308">
        <v>0</v>
      </c>
      <c r="J183" s="309">
        <v>0</v>
      </c>
      <c r="K183" s="309">
        <v>0</v>
      </c>
      <c r="L183" s="308">
        <v>0</v>
      </c>
      <c r="M183" s="308">
        <v>0</v>
      </c>
      <c r="N183" s="308">
        <v>0</v>
      </c>
      <c r="O183" s="309">
        <v>0</v>
      </c>
      <c r="P183" s="309">
        <v>0</v>
      </c>
      <c r="Q183" s="308">
        <v>0</v>
      </c>
      <c r="R183" s="309">
        <v>0</v>
      </c>
      <c r="S183" s="309">
        <v>0</v>
      </c>
      <c r="T183" s="309">
        <v>0</v>
      </c>
      <c r="U183" s="309">
        <v>0</v>
      </c>
      <c r="V183" s="315"/>
    </row>
    <row r="184" spans="1:22">
      <c r="A184" s="310"/>
      <c r="B184" s="311" t="s">
        <v>573</v>
      </c>
      <c r="C184" s="312">
        <v>0</v>
      </c>
      <c r="D184" s="313">
        <v>0</v>
      </c>
      <c r="E184" s="313">
        <v>0</v>
      </c>
      <c r="F184" s="313">
        <v>0</v>
      </c>
      <c r="G184" s="313">
        <v>0</v>
      </c>
      <c r="H184" s="313">
        <v>0</v>
      </c>
      <c r="I184" s="313">
        <v>0</v>
      </c>
      <c r="J184" s="314">
        <v>0</v>
      </c>
      <c r="K184" s="314">
        <v>0</v>
      </c>
      <c r="L184" s="313">
        <v>0</v>
      </c>
      <c r="M184" s="313">
        <v>0</v>
      </c>
      <c r="N184" s="313">
        <v>0</v>
      </c>
      <c r="O184" s="314">
        <v>0</v>
      </c>
      <c r="P184" s="314">
        <v>0</v>
      </c>
      <c r="Q184" s="313">
        <v>0</v>
      </c>
      <c r="R184" s="314">
        <v>0</v>
      </c>
      <c r="S184" s="314">
        <v>0</v>
      </c>
      <c r="T184" s="314">
        <v>0</v>
      </c>
      <c r="U184" s="314">
        <v>0</v>
      </c>
      <c r="V184" s="315"/>
    </row>
    <row r="185" spans="1:22" ht="15" thickBot="1">
      <c r="A185" s="326"/>
      <c r="B185" s="327" t="s">
        <v>574</v>
      </c>
      <c r="C185" s="328">
        <v>0</v>
      </c>
      <c r="D185" s="329">
        <v>0</v>
      </c>
      <c r="E185" s="329">
        <v>0</v>
      </c>
      <c r="F185" s="329">
        <v>0</v>
      </c>
      <c r="G185" s="329">
        <v>0</v>
      </c>
      <c r="H185" s="329">
        <v>0</v>
      </c>
      <c r="I185" s="329">
        <v>0</v>
      </c>
      <c r="J185" s="330">
        <v>0</v>
      </c>
      <c r="K185" s="330">
        <v>0</v>
      </c>
      <c r="L185" s="329">
        <v>0</v>
      </c>
      <c r="M185" s="329">
        <v>0</v>
      </c>
      <c r="N185" s="329">
        <v>0</v>
      </c>
      <c r="O185" s="330">
        <v>0</v>
      </c>
      <c r="P185" s="330">
        <v>0</v>
      </c>
      <c r="Q185" s="329">
        <v>0</v>
      </c>
      <c r="R185" s="330">
        <v>0</v>
      </c>
      <c r="S185" s="330">
        <v>0</v>
      </c>
      <c r="T185" s="330">
        <v>0</v>
      </c>
      <c r="U185" s="330">
        <v>0</v>
      </c>
      <c r="V185" s="315"/>
    </row>
    <row r="186" spans="1:22">
      <c r="A186" s="306" t="s">
        <v>188</v>
      </c>
      <c r="B186" s="55" t="s">
        <v>539</v>
      </c>
      <c r="C186" s="307">
        <v>0.86115518791996293</v>
      </c>
      <c r="D186" s="308">
        <v>0</v>
      </c>
      <c r="E186" s="308">
        <v>0.71476379230825904</v>
      </c>
      <c r="F186" s="308">
        <v>0.64752338683663135</v>
      </c>
      <c r="G186" s="308">
        <v>0</v>
      </c>
      <c r="H186" s="308">
        <v>0</v>
      </c>
      <c r="I186" s="308">
        <v>0</v>
      </c>
      <c r="J186" s="309">
        <v>0.77305342709215163</v>
      </c>
      <c r="K186" s="309">
        <v>0</v>
      </c>
      <c r="L186" s="308">
        <v>0.58854800461651979</v>
      </c>
      <c r="M186" s="308">
        <v>0.47769083792403677</v>
      </c>
      <c r="N186" s="308">
        <v>0.44681271616960594</v>
      </c>
      <c r="O186" s="309">
        <v>0.50407313114558605</v>
      </c>
      <c r="P186" s="309">
        <v>0.61106332913326511</v>
      </c>
      <c r="Q186" s="308">
        <v>0</v>
      </c>
      <c r="R186" s="309">
        <v>0.61106332913326511</v>
      </c>
      <c r="S186" s="309">
        <v>0</v>
      </c>
      <c r="T186" s="309">
        <v>0</v>
      </c>
      <c r="U186" s="309">
        <v>0.68576654180319241</v>
      </c>
      <c r="V186" s="315"/>
    </row>
    <row r="187" spans="1:22">
      <c r="A187" s="310"/>
      <c r="B187" s="311" t="s">
        <v>540</v>
      </c>
      <c r="C187" s="312">
        <v>0.58820146570879728</v>
      </c>
      <c r="D187" s="313">
        <v>0</v>
      </c>
      <c r="E187" s="313">
        <v>0.57196989849492474</v>
      </c>
      <c r="F187" s="313">
        <v>0.63636188271604943</v>
      </c>
      <c r="G187" s="313">
        <v>0</v>
      </c>
      <c r="H187" s="313">
        <v>0</v>
      </c>
      <c r="I187" s="313">
        <v>0</v>
      </c>
      <c r="J187" s="314">
        <v>0.57984760477373687</v>
      </c>
      <c r="K187" s="314">
        <v>0</v>
      </c>
      <c r="L187" s="313">
        <v>0.46604006305273499</v>
      </c>
      <c r="M187" s="313">
        <v>0.39789636371442066</v>
      </c>
      <c r="N187" s="313">
        <v>0.40246145403036215</v>
      </c>
      <c r="O187" s="314">
        <v>0.42263224903713148</v>
      </c>
      <c r="P187" s="314">
        <v>0.50211612220605739</v>
      </c>
      <c r="Q187" s="313">
        <v>0</v>
      </c>
      <c r="R187" s="314">
        <v>0.50211612220605739</v>
      </c>
      <c r="S187" s="314">
        <v>0</v>
      </c>
      <c r="T187" s="314">
        <v>0</v>
      </c>
      <c r="U187" s="314">
        <v>0.5295501643466356</v>
      </c>
      <c r="V187" s="315"/>
    </row>
    <row r="188" spans="1:22">
      <c r="A188" s="310"/>
      <c r="B188" s="316" t="s">
        <v>541</v>
      </c>
      <c r="C188" s="317">
        <v>-27.295372221116565</v>
      </c>
      <c r="D188" s="318">
        <v>0</v>
      </c>
      <c r="E188" s="318">
        <v>-14.279389381333429</v>
      </c>
      <c r="F188" s="318">
        <v>-1.1161504120581922</v>
      </c>
      <c r="G188" s="318">
        <v>0</v>
      </c>
      <c r="H188" s="318">
        <v>0</v>
      </c>
      <c r="I188" s="318">
        <v>0</v>
      </c>
      <c r="J188" s="320">
        <v>-19.320582231841477</v>
      </c>
      <c r="K188" s="320">
        <v>0</v>
      </c>
      <c r="L188" s="318">
        <v>-12.250794156378481</v>
      </c>
      <c r="M188" s="318">
        <v>-7.9794474209616109</v>
      </c>
      <c r="N188" s="318">
        <v>-4.435126213924379</v>
      </c>
      <c r="O188" s="320">
        <v>-8.1440882108454566</v>
      </c>
      <c r="P188" s="320">
        <v>-10.894720692720771</v>
      </c>
      <c r="Q188" s="318">
        <v>0</v>
      </c>
      <c r="R188" s="320">
        <v>-10.894720692720771</v>
      </c>
      <c r="S188" s="320">
        <v>0</v>
      </c>
      <c r="T188" s="320">
        <v>0</v>
      </c>
      <c r="U188" s="320">
        <v>-15.621637745655681</v>
      </c>
      <c r="V188" s="315"/>
    </row>
    <row r="189" spans="1:22">
      <c r="A189" s="310"/>
      <c r="B189" s="55" t="s">
        <v>542</v>
      </c>
      <c r="C189" s="307">
        <v>2.0379716138986113E-2</v>
      </c>
      <c r="D189" s="308">
        <v>0</v>
      </c>
      <c r="E189" s="308">
        <v>5.7630027682678261E-2</v>
      </c>
      <c r="F189" s="308">
        <v>0</v>
      </c>
      <c r="G189" s="308">
        <v>0</v>
      </c>
      <c r="H189" s="308">
        <v>0</v>
      </c>
      <c r="I189" s="308">
        <v>0</v>
      </c>
      <c r="J189" s="309">
        <v>4.1494985986978573E-2</v>
      </c>
      <c r="K189" s="309">
        <v>0</v>
      </c>
      <c r="L189" s="308">
        <v>5.7074288077088836E-2</v>
      </c>
      <c r="M189" s="308">
        <v>6.6391583490186923E-2</v>
      </c>
      <c r="N189" s="308">
        <v>5.4295272328402172E-2</v>
      </c>
      <c r="O189" s="309">
        <v>5.9334922829110986E-2</v>
      </c>
      <c r="P189" s="309">
        <v>5.3021816409776518E-2</v>
      </c>
      <c r="Q189" s="308">
        <v>0</v>
      </c>
      <c r="R189" s="309">
        <v>5.3021816409776518E-2</v>
      </c>
      <c r="S189" s="309">
        <v>0</v>
      </c>
      <c r="T189" s="309">
        <v>0</v>
      </c>
      <c r="U189" s="309">
        <v>4.7315183541856751E-2</v>
      </c>
      <c r="V189" s="315"/>
    </row>
    <row r="190" spans="1:22">
      <c r="A190" s="310"/>
      <c r="B190" s="311" t="s">
        <v>543</v>
      </c>
      <c r="C190" s="312">
        <v>1.9635118398840599E-2</v>
      </c>
      <c r="D190" s="313">
        <v>0</v>
      </c>
      <c r="E190" s="313">
        <v>6.6142807140357016E-2</v>
      </c>
      <c r="F190" s="313">
        <v>1.1574074074074073E-3</v>
      </c>
      <c r="G190" s="313">
        <v>0</v>
      </c>
      <c r="H190" s="313">
        <v>0</v>
      </c>
      <c r="I190" s="313">
        <v>0</v>
      </c>
      <c r="J190" s="314">
        <v>4.6072665519449531E-2</v>
      </c>
      <c r="K190" s="314">
        <v>0</v>
      </c>
      <c r="L190" s="313">
        <v>6.7259662626924344E-2</v>
      </c>
      <c r="M190" s="313">
        <v>6.2518782466835524E-2</v>
      </c>
      <c r="N190" s="313">
        <v>5.8206453622468277E-2</v>
      </c>
      <c r="O190" s="314">
        <v>6.3131147220777006E-2</v>
      </c>
      <c r="P190" s="314">
        <v>6.2075122338315039E-2</v>
      </c>
      <c r="Q190" s="313">
        <v>0</v>
      </c>
      <c r="R190" s="314">
        <v>6.2075122338315039E-2</v>
      </c>
      <c r="S190" s="314">
        <v>0</v>
      </c>
      <c r="T190" s="314">
        <v>0</v>
      </c>
      <c r="U190" s="314">
        <v>5.1834982126970429E-2</v>
      </c>
      <c r="V190" s="315"/>
    </row>
    <row r="191" spans="1:22">
      <c r="A191" s="310"/>
      <c r="B191" s="316" t="s">
        <v>544</v>
      </c>
      <c r="C191" s="317">
        <v>-7.4459774014551394E-2</v>
      </c>
      <c r="D191" s="318">
        <v>0</v>
      </c>
      <c r="E191" s="318">
        <v>0.85127794576787541</v>
      </c>
      <c r="F191" s="318">
        <v>0</v>
      </c>
      <c r="G191" s="318">
        <v>0</v>
      </c>
      <c r="H191" s="318">
        <v>0</v>
      </c>
      <c r="I191" s="318">
        <v>0</v>
      </c>
      <c r="J191" s="320">
        <v>0.45776795324709574</v>
      </c>
      <c r="K191" s="320">
        <v>0</v>
      </c>
      <c r="L191" s="318">
        <v>1.0185374549835506</v>
      </c>
      <c r="M191" s="318">
        <v>-0.38728010233513993</v>
      </c>
      <c r="N191" s="318">
        <v>0.39111812940661045</v>
      </c>
      <c r="O191" s="320">
        <v>0.37962243916660199</v>
      </c>
      <c r="P191" s="320">
        <v>0.9053305928538522</v>
      </c>
      <c r="Q191" s="318">
        <v>0</v>
      </c>
      <c r="R191" s="320">
        <v>0.9053305928538522</v>
      </c>
      <c r="S191" s="320">
        <v>0</v>
      </c>
      <c r="T191" s="320">
        <v>0</v>
      </c>
      <c r="U191" s="320">
        <v>0.45197985851136779</v>
      </c>
      <c r="V191" s="315"/>
    </row>
    <row r="192" spans="1:22">
      <c r="A192" s="310"/>
      <c r="B192" s="55" t="s">
        <v>545</v>
      </c>
      <c r="C192" s="307">
        <v>0.11695757360508834</v>
      </c>
      <c r="D192" s="308">
        <v>0</v>
      </c>
      <c r="E192" s="308">
        <v>0.21342137248088133</v>
      </c>
      <c r="F192" s="308">
        <v>0.35243211977619826</v>
      </c>
      <c r="G192" s="308">
        <v>0</v>
      </c>
      <c r="H192" s="308">
        <v>0</v>
      </c>
      <c r="I192" s="308">
        <v>0</v>
      </c>
      <c r="J192" s="309">
        <v>0.17666257024446294</v>
      </c>
      <c r="K192" s="309">
        <v>0</v>
      </c>
      <c r="L192" s="308">
        <v>0.35437770730639134</v>
      </c>
      <c r="M192" s="308">
        <v>0.45591757858577642</v>
      </c>
      <c r="N192" s="308">
        <v>0.49889201150199175</v>
      </c>
      <c r="O192" s="309">
        <v>0.43659194602530299</v>
      </c>
      <c r="P192" s="309">
        <v>0.3359148544569584</v>
      </c>
      <c r="Q192" s="308">
        <v>0</v>
      </c>
      <c r="R192" s="309">
        <v>0.3359148544569584</v>
      </c>
      <c r="S192" s="309">
        <v>0</v>
      </c>
      <c r="T192" s="309">
        <v>0</v>
      </c>
      <c r="U192" s="309">
        <v>0.26111959634321585</v>
      </c>
      <c r="V192" s="315"/>
    </row>
    <row r="193" spans="1:22">
      <c r="A193" s="310"/>
      <c r="B193" s="311" t="s">
        <v>546</v>
      </c>
      <c r="C193" s="312">
        <v>0.39097812276063904</v>
      </c>
      <c r="D193" s="313">
        <v>0</v>
      </c>
      <c r="E193" s="313">
        <v>0.35111305565278261</v>
      </c>
      <c r="F193" s="313">
        <v>0.36248070987654318</v>
      </c>
      <c r="G193" s="313">
        <v>0</v>
      </c>
      <c r="H193" s="313">
        <v>0</v>
      </c>
      <c r="I193" s="313">
        <v>0</v>
      </c>
      <c r="J193" s="314">
        <v>0.36738861670969403</v>
      </c>
      <c r="K193" s="314">
        <v>0</v>
      </c>
      <c r="L193" s="313">
        <v>0.46670027432034067</v>
      </c>
      <c r="M193" s="313">
        <v>0.53958485381874388</v>
      </c>
      <c r="N193" s="313">
        <v>0.53933209234716961</v>
      </c>
      <c r="O193" s="314">
        <v>0.51423660374209157</v>
      </c>
      <c r="P193" s="314">
        <v>0.43580875545562758</v>
      </c>
      <c r="Q193" s="313">
        <v>0</v>
      </c>
      <c r="R193" s="314">
        <v>0.43580875545562758</v>
      </c>
      <c r="S193" s="314">
        <v>0</v>
      </c>
      <c r="T193" s="314">
        <v>0</v>
      </c>
      <c r="U193" s="314">
        <v>0.41420066804110528</v>
      </c>
      <c r="V193" s="315"/>
    </row>
    <row r="194" spans="1:22">
      <c r="A194" s="310"/>
      <c r="B194" s="316" t="s">
        <v>547</v>
      </c>
      <c r="C194" s="317">
        <v>27.40205491555507</v>
      </c>
      <c r="D194" s="318">
        <v>0</v>
      </c>
      <c r="E194" s="318">
        <v>13.769168317190129</v>
      </c>
      <c r="F194" s="318">
        <v>1.0048590100344923</v>
      </c>
      <c r="G194" s="318">
        <v>0</v>
      </c>
      <c r="H194" s="318">
        <v>0</v>
      </c>
      <c r="I194" s="318">
        <v>0</v>
      </c>
      <c r="J194" s="320">
        <v>19.072604646523107</v>
      </c>
      <c r="K194" s="320">
        <v>0</v>
      </c>
      <c r="L194" s="318">
        <v>11.232256701394933</v>
      </c>
      <c r="M194" s="318">
        <v>8.3667275232967455</v>
      </c>
      <c r="N194" s="318">
        <v>4.0440080845177864</v>
      </c>
      <c r="O194" s="320">
        <v>7.7644657716788581</v>
      </c>
      <c r="P194" s="320">
        <v>9.9893900998669185</v>
      </c>
      <c r="Q194" s="318">
        <v>0</v>
      </c>
      <c r="R194" s="320">
        <v>9.9893900998669185</v>
      </c>
      <c r="S194" s="320">
        <v>0</v>
      </c>
      <c r="T194" s="320">
        <v>0</v>
      </c>
      <c r="U194" s="320">
        <v>15.308107169788943</v>
      </c>
      <c r="V194" s="315"/>
    </row>
    <row r="195" spans="1:22">
      <c r="A195" s="310"/>
      <c r="B195" s="55" t="s">
        <v>548</v>
      </c>
      <c r="C195" s="307">
        <v>2.8928389347478649E-4</v>
      </c>
      <c r="D195" s="308">
        <v>0</v>
      </c>
      <c r="E195" s="308">
        <v>1.4111471474461729E-2</v>
      </c>
      <c r="F195" s="308">
        <v>4.4493387170331808E-5</v>
      </c>
      <c r="G195" s="308">
        <v>0</v>
      </c>
      <c r="H195" s="308">
        <v>0</v>
      </c>
      <c r="I195" s="308">
        <v>0</v>
      </c>
      <c r="J195" s="309">
        <v>8.2519187194343754E-3</v>
      </c>
      <c r="K195" s="309">
        <v>0</v>
      </c>
      <c r="L195" s="308">
        <v>0</v>
      </c>
      <c r="M195" s="308">
        <v>0</v>
      </c>
      <c r="N195" s="308">
        <v>0</v>
      </c>
      <c r="O195" s="309">
        <v>0</v>
      </c>
      <c r="P195" s="309">
        <v>0</v>
      </c>
      <c r="Q195" s="308">
        <v>0</v>
      </c>
      <c r="R195" s="309">
        <v>0</v>
      </c>
      <c r="S195" s="309">
        <v>0</v>
      </c>
      <c r="T195" s="309">
        <v>0</v>
      </c>
      <c r="U195" s="309">
        <v>5.4443203227765805E-3</v>
      </c>
      <c r="V195" s="315"/>
    </row>
    <row r="196" spans="1:22">
      <c r="A196" s="310"/>
      <c r="B196" s="311" t="s">
        <v>549</v>
      </c>
      <c r="C196" s="312">
        <v>5.9615928894455716E-4</v>
      </c>
      <c r="D196" s="313">
        <v>0</v>
      </c>
      <c r="E196" s="313">
        <v>1.0704935246762338E-2</v>
      </c>
      <c r="F196" s="313">
        <v>0</v>
      </c>
      <c r="G196" s="313">
        <v>0</v>
      </c>
      <c r="H196" s="313">
        <v>0</v>
      </c>
      <c r="I196" s="313">
        <v>0</v>
      </c>
      <c r="J196" s="314">
        <v>6.4141335428579277E-3</v>
      </c>
      <c r="K196" s="314">
        <v>0</v>
      </c>
      <c r="L196" s="313">
        <v>0</v>
      </c>
      <c r="M196" s="313">
        <v>0</v>
      </c>
      <c r="N196" s="313">
        <v>0</v>
      </c>
      <c r="O196" s="314">
        <v>0</v>
      </c>
      <c r="P196" s="314">
        <v>0</v>
      </c>
      <c r="Q196" s="313">
        <v>0</v>
      </c>
      <c r="R196" s="314">
        <v>0</v>
      </c>
      <c r="S196" s="314">
        <v>0</v>
      </c>
      <c r="T196" s="314">
        <v>0</v>
      </c>
      <c r="U196" s="314">
        <v>4.2314597284151866E-3</v>
      </c>
      <c r="V196" s="315"/>
    </row>
    <row r="197" spans="1:22">
      <c r="A197" s="310"/>
      <c r="B197" s="316" t="s">
        <v>550</v>
      </c>
      <c r="C197" s="317">
        <v>3.0687539546977068E-2</v>
      </c>
      <c r="D197" s="318">
        <v>0</v>
      </c>
      <c r="E197" s="318">
        <v>-0.34065362276993905</v>
      </c>
      <c r="F197" s="318">
        <v>-4.4493387170331808E-3</v>
      </c>
      <c r="G197" s="318">
        <v>0</v>
      </c>
      <c r="H197" s="318">
        <v>0</v>
      </c>
      <c r="I197" s="318">
        <v>0</v>
      </c>
      <c r="J197" s="320">
        <v>-0.18377851765764477</v>
      </c>
      <c r="K197" s="320">
        <v>0</v>
      </c>
      <c r="L197" s="318">
        <v>0</v>
      </c>
      <c r="M197" s="318">
        <v>0</v>
      </c>
      <c r="N197" s="318">
        <v>0</v>
      </c>
      <c r="O197" s="320">
        <v>0</v>
      </c>
      <c r="P197" s="320">
        <v>0</v>
      </c>
      <c r="Q197" s="318">
        <v>0</v>
      </c>
      <c r="R197" s="320">
        <v>0</v>
      </c>
      <c r="S197" s="320">
        <v>0</v>
      </c>
      <c r="T197" s="320">
        <v>0</v>
      </c>
      <c r="U197" s="320">
        <v>-0.12128605943613939</v>
      </c>
      <c r="V197" s="315"/>
    </row>
    <row r="198" spans="1:22">
      <c r="A198" s="310"/>
      <c r="B198" s="55" t="s">
        <v>551</v>
      </c>
      <c r="C198" s="307">
        <v>1.2182384424878796E-3</v>
      </c>
      <c r="D198" s="308">
        <v>0</v>
      </c>
      <c r="E198" s="308">
        <v>7.3336053719668556E-5</v>
      </c>
      <c r="F198" s="308">
        <v>0</v>
      </c>
      <c r="G198" s="308">
        <v>0</v>
      </c>
      <c r="H198" s="308">
        <v>0</v>
      </c>
      <c r="I198" s="308">
        <v>0</v>
      </c>
      <c r="J198" s="309">
        <v>5.3709795697244286E-4</v>
      </c>
      <c r="K198" s="309">
        <v>0</v>
      </c>
      <c r="L198" s="308">
        <v>0</v>
      </c>
      <c r="M198" s="308">
        <v>0</v>
      </c>
      <c r="N198" s="308">
        <v>0</v>
      </c>
      <c r="O198" s="309">
        <v>0</v>
      </c>
      <c r="P198" s="309">
        <v>0</v>
      </c>
      <c r="Q198" s="308">
        <v>0</v>
      </c>
      <c r="R198" s="309">
        <v>0</v>
      </c>
      <c r="S198" s="309">
        <v>0</v>
      </c>
      <c r="T198" s="309">
        <v>0</v>
      </c>
      <c r="U198" s="309">
        <v>3.5435798895838922E-4</v>
      </c>
      <c r="V198" s="315"/>
    </row>
    <row r="199" spans="1:22">
      <c r="A199" s="310"/>
      <c r="B199" s="311" t="s">
        <v>552</v>
      </c>
      <c r="C199" s="312">
        <v>5.8913384277854393E-4</v>
      </c>
      <c r="D199" s="313">
        <v>0</v>
      </c>
      <c r="E199" s="313">
        <v>6.9303465173258661E-5</v>
      </c>
      <c r="F199" s="313">
        <v>0</v>
      </c>
      <c r="G199" s="313">
        <v>0</v>
      </c>
      <c r="H199" s="313">
        <v>0</v>
      </c>
      <c r="I199" s="313">
        <v>0</v>
      </c>
      <c r="J199" s="314">
        <v>2.7697945426164789E-4</v>
      </c>
      <c r="K199" s="314">
        <v>0</v>
      </c>
      <c r="L199" s="313">
        <v>0</v>
      </c>
      <c r="M199" s="313">
        <v>0</v>
      </c>
      <c r="N199" s="313">
        <v>0</v>
      </c>
      <c r="O199" s="314">
        <v>0</v>
      </c>
      <c r="P199" s="314">
        <v>0</v>
      </c>
      <c r="Q199" s="313">
        <v>0</v>
      </c>
      <c r="R199" s="314">
        <v>0</v>
      </c>
      <c r="S199" s="314">
        <v>0</v>
      </c>
      <c r="T199" s="314">
        <v>0</v>
      </c>
      <c r="U199" s="314">
        <v>1.8272575687352502E-4</v>
      </c>
      <c r="V199" s="315"/>
    </row>
    <row r="200" spans="1:22">
      <c r="A200" s="310"/>
      <c r="B200" s="316" t="s">
        <v>553</v>
      </c>
      <c r="C200" s="317">
        <v>-6.2910459970933572E-2</v>
      </c>
      <c r="D200" s="318">
        <v>0</v>
      </c>
      <c r="E200" s="318">
        <v>-4.0325885464098952E-4</v>
      </c>
      <c r="F200" s="318">
        <v>0</v>
      </c>
      <c r="G200" s="318">
        <v>0</v>
      </c>
      <c r="H200" s="318">
        <v>0</v>
      </c>
      <c r="I200" s="318">
        <v>0</v>
      </c>
      <c r="J200" s="320">
        <v>-2.6011850271079495E-2</v>
      </c>
      <c r="K200" s="320">
        <v>0</v>
      </c>
      <c r="L200" s="318">
        <v>0</v>
      </c>
      <c r="M200" s="318">
        <v>0</v>
      </c>
      <c r="N200" s="318">
        <v>0</v>
      </c>
      <c r="O200" s="320">
        <v>0</v>
      </c>
      <c r="P200" s="320">
        <v>0</v>
      </c>
      <c r="Q200" s="318">
        <v>0</v>
      </c>
      <c r="R200" s="320">
        <v>0</v>
      </c>
      <c r="S200" s="320">
        <v>0</v>
      </c>
      <c r="T200" s="320">
        <v>0</v>
      </c>
      <c r="U200" s="320">
        <v>-1.7163223208486421E-2</v>
      </c>
      <c r="V200" s="315"/>
    </row>
    <row r="201" spans="1:22">
      <c r="A201" s="310"/>
      <c r="B201" s="55" t="s">
        <v>554</v>
      </c>
      <c r="C201" s="307">
        <v>0</v>
      </c>
      <c r="D201" s="308">
        <v>0</v>
      </c>
      <c r="E201" s="308">
        <v>0</v>
      </c>
      <c r="F201" s="308">
        <v>0</v>
      </c>
      <c r="G201" s="308">
        <v>0</v>
      </c>
      <c r="H201" s="308">
        <v>0</v>
      </c>
      <c r="I201" s="308">
        <v>0</v>
      </c>
      <c r="J201" s="309">
        <v>0</v>
      </c>
      <c r="K201" s="309">
        <v>0</v>
      </c>
      <c r="L201" s="308">
        <v>0</v>
      </c>
      <c r="M201" s="308">
        <v>0</v>
      </c>
      <c r="N201" s="308">
        <v>0</v>
      </c>
      <c r="O201" s="309">
        <v>0</v>
      </c>
      <c r="P201" s="309">
        <v>0</v>
      </c>
      <c r="Q201" s="308">
        <v>0</v>
      </c>
      <c r="R201" s="309">
        <v>0</v>
      </c>
      <c r="S201" s="309">
        <v>0</v>
      </c>
      <c r="T201" s="309">
        <v>0</v>
      </c>
      <c r="U201" s="309">
        <v>0</v>
      </c>
      <c r="V201" s="315"/>
    </row>
    <row r="202" spans="1:22">
      <c r="A202" s="310"/>
      <c r="B202" s="311" t="s">
        <v>555</v>
      </c>
      <c r="C202" s="312">
        <v>0</v>
      </c>
      <c r="D202" s="313">
        <v>0</v>
      </c>
      <c r="E202" s="313">
        <v>0</v>
      </c>
      <c r="F202" s="313">
        <v>0</v>
      </c>
      <c r="G202" s="313">
        <v>0</v>
      </c>
      <c r="H202" s="313">
        <v>0</v>
      </c>
      <c r="I202" s="313">
        <v>0</v>
      </c>
      <c r="J202" s="314">
        <v>0</v>
      </c>
      <c r="K202" s="314">
        <v>0</v>
      </c>
      <c r="L202" s="313">
        <v>0</v>
      </c>
      <c r="M202" s="313">
        <v>0</v>
      </c>
      <c r="N202" s="313">
        <v>0</v>
      </c>
      <c r="O202" s="314">
        <v>0</v>
      </c>
      <c r="P202" s="314">
        <v>0</v>
      </c>
      <c r="Q202" s="313">
        <v>0</v>
      </c>
      <c r="R202" s="314">
        <v>0</v>
      </c>
      <c r="S202" s="314">
        <v>0</v>
      </c>
      <c r="T202" s="314">
        <v>0</v>
      </c>
      <c r="U202" s="314">
        <v>0</v>
      </c>
      <c r="V202" s="315"/>
    </row>
    <row r="203" spans="1:22" ht="15" thickBot="1">
      <c r="A203" s="310"/>
      <c r="B203" s="322" t="s">
        <v>556</v>
      </c>
      <c r="C203" s="323">
        <v>0</v>
      </c>
      <c r="D203" s="324">
        <v>0</v>
      </c>
      <c r="E203" s="324">
        <v>0</v>
      </c>
      <c r="F203" s="324">
        <v>0</v>
      </c>
      <c r="G203" s="324">
        <v>0</v>
      </c>
      <c r="H203" s="324">
        <v>0</v>
      </c>
      <c r="I203" s="324">
        <v>0</v>
      </c>
      <c r="J203" s="325">
        <v>0</v>
      </c>
      <c r="K203" s="325">
        <v>0</v>
      </c>
      <c r="L203" s="324">
        <v>0</v>
      </c>
      <c r="M203" s="324">
        <v>0</v>
      </c>
      <c r="N203" s="324">
        <v>0</v>
      </c>
      <c r="O203" s="325">
        <v>0</v>
      </c>
      <c r="P203" s="325">
        <v>0</v>
      </c>
      <c r="Q203" s="324">
        <v>0</v>
      </c>
      <c r="R203" s="325">
        <v>0</v>
      </c>
      <c r="S203" s="325">
        <v>0</v>
      </c>
      <c r="T203" s="325">
        <v>0</v>
      </c>
      <c r="U203" s="325">
        <v>0</v>
      </c>
      <c r="V203" s="315"/>
    </row>
    <row r="204" spans="1:22" ht="15" thickTop="1">
      <c r="A204" s="310"/>
      <c r="B204" s="311" t="s">
        <v>557</v>
      </c>
      <c r="C204" s="312">
        <v>0.68445128507615838</v>
      </c>
      <c r="D204" s="313">
        <v>0</v>
      </c>
      <c r="E204" s="313">
        <v>0.36331841946660415</v>
      </c>
      <c r="F204" s="313">
        <v>0.72528433945756776</v>
      </c>
      <c r="G204" s="313">
        <v>0</v>
      </c>
      <c r="H204" s="313">
        <v>0</v>
      </c>
      <c r="I204" s="313">
        <v>0</v>
      </c>
      <c r="J204" s="314">
        <v>0.52219274871650057</v>
      </c>
      <c r="K204" s="314">
        <v>0</v>
      </c>
      <c r="L204" s="313">
        <v>0</v>
      </c>
      <c r="M204" s="313">
        <v>0</v>
      </c>
      <c r="N204" s="313">
        <v>0</v>
      </c>
      <c r="O204" s="314">
        <v>0</v>
      </c>
      <c r="P204" s="314">
        <v>0</v>
      </c>
      <c r="Q204" s="313">
        <v>0</v>
      </c>
      <c r="R204" s="314">
        <v>0</v>
      </c>
      <c r="S204" s="314">
        <v>0</v>
      </c>
      <c r="T204" s="314">
        <v>0</v>
      </c>
      <c r="U204" s="314">
        <v>0.52219274871650057</v>
      </c>
      <c r="V204" s="315"/>
    </row>
    <row r="205" spans="1:22">
      <c r="A205" s="310"/>
      <c r="B205" s="311" t="s">
        <v>558</v>
      </c>
      <c r="C205" s="312">
        <v>0.46428697837397798</v>
      </c>
      <c r="D205" s="313">
        <v>0</v>
      </c>
      <c r="E205" s="313">
        <v>0.24143307222545909</v>
      </c>
      <c r="F205" s="313">
        <v>0.57210031347962387</v>
      </c>
      <c r="G205" s="313">
        <v>0</v>
      </c>
      <c r="H205" s="313">
        <v>0</v>
      </c>
      <c r="I205" s="313">
        <v>0</v>
      </c>
      <c r="J205" s="314">
        <v>0.34908743371562462</v>
      </c>
      <c r="K205" s="314">
        <v>0</v>
      </c>
      <c r="L205" s="313">
        <v>0</v>
      </c>
      <c r="M205" s="313">
        <v>0</v>
      </c>
      <c r="N205" s="313">
        <v>0</v>
      </c>
      <c r="O205" s="314">
        <v>0</v>
      </c>
      <c r="P205" s="314">
        <v>0</v>
      </c>
      <c r="Q205" s="313">
        <v>0</v>
      </c>
      <c r="R205" s="314">
        <v>0</v>
      </c>
      <c r="S205" s="314">
        <v>0</v>
      </c>
      <c r="T205" s="314">
        <v>0</v>
      </c>
      <c r="U205" s="314">
        <v>0.34908743371562462</v>
      </c>
      <c r="V205" s="315"/>
    </row>
    <row r="206" spans="1:22">
      <c r="A206" s="310"/>
      <c r="B206" s="316" t="s">
        <v>559</v>
      </c>
      <c r="C206" s="317">
        <v>-22.016430670218039</v>
      </c>
      <c r="D206" s="318">
        <v>0</v>
      </c>
      <c r="E206" s="318">
        <v>-12.188534724114506</v>
      </c>
      <c r="F206" s="318">
        <v>-15.318402597794389</v>
      </c>
      <c r="G206" s="318">
        <v>0</v>
      </c>
      <c r="H206" s="318">
        <v>0</v>
      </c>
      <c r="I206" s="318">
        <v>0</v>
      </c>
      <c r="J206" s="320">
        <v>-17.310531500087595</v>
      </c>
      <c r="K206" s="320">
        <v>0</v>
      </c>
      <c r="L206" s="318">
        <v>0</v>
      </c>
      <c r="M206" s="318">
        <v>0</v>
      </c>
      <c r="N206" s="318">
        <v>0</v>
      </c>
      <c r="O206" s="320">
        <v>0</v>
      </c>
      <c r="P206" s="320">
        <v>0</v>
      </c>
      <c r="Q206" s="318">
        <v>0</v>
      </c>
      <c r="R206" s="320">
        <v>0</v>
      </c>
      <c r="S206" s="320">
        <v>0</v>
      </c>
      <c r="T206" s="320">
        <v>0</v>
      </c>
      <c r="U206" s="320">
        <v>-17.310531500087595</v>
      </c>
      <c r="V206" s="315"/>
    </row>
    <row r="207" spans="1:22">
      <c r="A207" s="310"/>
      <c r="B207" s="55" t="s">
        <v>560</v>
      </c>
      <c r="C207" s="307">
        <v>3.9526153127745725E-2</v>
      </c>
      <c r="D207" s="308">
        <v>0</v>
      </c>
      <c r="E207" s="308">
        <v>3.5891254457088739E-2</v>
      </c>
      <c r="F207" s="308">
        <v>0</v>
      </c>
      <c r="G207" s="308">
        <v>0</v>
      </c>
      <c r="H207" s="308">
        <v>0</v>
      </c>
      <c r="I207" s="308">
        <v>0</v>
      </c>
      <c r="J207" s="309">
        <v>3.7483590133351757E-2</v>
      </c>
      <c r="K207" s="309">
        <v>0</v>
      </c>
      <c r="L207" s="308">
        <v>0</v>
      </c>
      <c r="M207" s="308">
        <v>0</v>
      </c>
      <c r="N207" s="308">
        <v>0</v>
      </c>
      <c r="O207" s="309">
        <v>0</v>
      </c>
      <c r="P207" s="309">
        <v>0</v>
      </c>
      <c r="Q207" s="308">
        <v>0</v>
      </c>
      <c r="R207" s="309">
        <v>0</v>
      </c>
      <c r="S207" s="309">
        <v>0</v>
      </c>
      <c r="T207" s="309">
        <v>0</v>
      </c>
      <c r="U207" s="309">
        <v>3.7483590133351757E-2</v>
      </c>
      <c r="V207" s="315"/>
    </row>
    <row r="208" spans="1:22">
      <c r="A208" s="310"/>
      <c r="B208" s="311" t="s">
        <v>561</v>
      </c>
      <c r="C208" s="312">
        <v>1.7178116778159253E-2</v>
      </c>
      <c r="D208" s="313">
        <v>0</v>
      </c>
      <c r="E208" s="313">
        <v>3.6323126389158626E-2</v>
      </c>
      <c r="F208" s="313">
        <v>0</v>
      </c>
      <c r="G208" s="313">
        <v>0</v>
      </c>
      <c r="H208" s="313">
        <v>0</v>
      </c>
      <c r="I208" s="313">
        <v>0</v>
      </c>
      <c r="J208" s="314">
        <v>2.7032253724817542E-2</v>
      </c>
      <c r="K208" s="314">
        <v>0</v>
      </c>
      <c r="L208" s="313">
        <v>0</v>
      </c>
      <c r="M208" s="313">
        <v>0</v>
      </c>
      <c r="N208" s="313">
        <v>0</v>
      </c>
      <c r="O208" s="314">
        <v>0</v>
      </c>
      <c r="P208" s="314">
        <v>0</v>
      </c>
      <c r="Q208" s="313">
        <v>0</v>
      </c>
      <c r="R208" s="314">
        <v>0</v>
      </c>
      <c r="S208" s="314">
        <v>0</v>
      </c>
      <c r="T208" s="314">
        <v>0</v>
      </c>
      <c r="U208" s="314">
        <v>2.7032253724817542E-2</v>
      </c>
      <c r="V208" s="315"/>
    </row>
    <row r="209" spans="1:22">
      <c r="A209" s="310"/>
      <c r="B209" s="316" t="s">
        <v>562</v>
      </c>
      <c r="C209" s="317">
        <v>-2.2348036349586473</v>
      </c>
      <c r="D209" s="318">
        <v>0</v>
      </c>
      <c r="E209" s="318">
        <v>4.3187193206988689E-2</v>
      </c>
      <c r="F209" s="318">
        <v>0</v>
      </c>
      <c r="G209" s="318">
        <v>0</v>
      </c>
      <c r="H209" s="318">
        <v>0</v>
      </c>
      <c r="I209" s="318">
        <v>0</v>
      </c>
      <c r="J209" s="320">
        <v>-1.0451336408534215</v>
      </c>
      <c r="K209" s="320">
        <v>0</v>
      </c>
      <c r="L209" s="318">
        <v>0</v>
      </c>
      <c r="M209" s="318">
        <v>0</v>
      </c>
      <c r="N209" s="318">
        <v>0</v>
      </c>
      <c r="O209" s="320">
        <v>0</v>
      </c>
      <c r="P209" s="320">
        <v>0</v>
      </c>
      <c r="Q209" s="318">
        <v>0</v>
      </c>
      <c r="R209" s="320">
        <v>0</v>
      </c>
      <c r="S209" s="320">
        <v>0</v>
      </c>
      <c r="T209" s="320">
        <v>0</v>
      </c>
      <c r="U209" s="320">
        <v>-1.0451336408534215</v>
      </c>
      <c r="V209" s="315"/>
    </row>
    <row r="210" spans="1:22">
      <c r="A210" s="310"/>
      <c r="B210" s="55" t="s">
        <v>563</v>
      </c>
      <c r="C210" s="307">
        <v>0.26781380373940877</v>
      </c>
      <c r="D210" s="308">
        <v>0</v>
      </c>
      <c r="E210" s="308">
        <v>0.598528010260582</v>
      </c>
      <c r="F210" s="308">
        <v>0.27471566054243218</v>
      </c>
      <c r="G210" s="308">
        <v>0</v>
      </c>
      <c r="H210" s="308">
        <v>0</v>
      </c>
      <c r="I210" s="308">
        <v>0</v>
      </c>
      <c r="J210" s="309">
        <v>0.4351656307547187</v>
      </c>
      <c r="K210" s="309">
        <v>0</v>
      </c>
      <c r="L210" s="308">
        <v>0</v>
      </c>
      <c r="M210" s="308">
        <v>0</v>
      </c>
      <c r="N210" s="308">
        <v>0</v>
      </c>
      <c r="O210" s="309">
        <v>0</v>
      </c>
      <c r="P210" s="309">
        <v>0</v>
      </c>
      <c r="Q210" s="308">
        <v>0</v>
      </c>
      <c r="R210" s="309">
        <v>0</v>
      </c>
      <c r="S210" s="309">
        <v>0</v>
      </c>
      <c r="T210" s="309">
        <v>0</v>
      </c>
      <c r="U210" s="309">
        <v>0.4351656307547187</v>
      </c>
      <c r="V210" s="315"/>
    </row>
    <row r="211" spans="1:22">
      <c r="A211" s="310"/>
      <c r="B211" s="311" t="s">
        <v>564</v>
      </c>
      <c r="C211" s="312">
        <v>0.51567385174435754</v>
      </c>
      <c r="D211" s="313">
        <v>0</v>
      </c>
      <c r="E211" s="313">
        <v>0.72141839839451027</v>
      </c>
      <c r="F211" s="313">
        <v>0.42789968652037619</v>
      </c>
      <c r="G211" s="313">
        <v>0</v>
      </c>
      <c r="H211" s="313">
        <v>0</v>
      </c>
      <c r="I211" s="313">
        <v>0</v>
      </c>
      <c r="J211" s="314">
        <v>0.62209217592125476</v>
      </c>
      <c r="K211" s="314">
        <v>0</v>
      </c>
      <c r="L211" s="313">
        <v>0</v>
      </c>
      <c r="M211" s="313">
        <v>0</v>
      </c>
      <c r="N211" s="313">
        <v>0</v>
      </c>
      <c r="O211" s="314">
        <v>0</v>
      </c>
      <c r="P211" s="314">
        <v>0</v>
      </c>
      <c r="Q211" s="313">
        <v>0</v>
      </c>
      <c r="R211" s="314">
        <v>0</v>
      </c>
      <c r="S211" s="314">
        <v>0</v>
      </c>
      <c r="T211" s="314">
        <v>0</v>
      </c>
      <c r="U211" s="314">
        <v>0.62209217592125476</v>
      </c>
      <c r="V211" s="315"/>
    </row>
    <row r="212" spans="1:22">
      <c r="A212" s="310"/>
      <c r="B212" s="316" t="s">
        <v>565</v>
      </c>
      <c r="C212" s="317">
        <v>24.786004800494876</v>
      </c>
      <c r="D212" s="318">
        <v>0</v>
      </c>
      <c r="E212" s="318">
        <v>12.289038813392828</v>
      </c>
      <c r="F212" s="318">
        <v>15.3184025977944</v>
      </c>
      <c r="G212" s="318">
        <v>0</v>
      </c>
      <c r="H212" s="318">
        <v>0</v>
      </c>
      <c r="I212" s="318">
        <v>0</v>
      </c>
      <c r="J212" s="320">
        <v>18.692654516653604</v>
      </c>
      <c r="K212" s="320">
        <v>0</v>
      </c>
      <c r="L212" s="318">
        <v>0</v>
      </c>
      <c r="M212" s="318">
        <v>0</v>
      </c>
      <c r="N212" s="318">
        <v>0</v>
      </c>
      <c r="O212" s="320">
        <v>0</v>
      </c>
      <c r="P212" s="320">
        <v>0</v>
      </c>
      <c r="Q212" s="318">
        <v>0</v>
      </c>
      <c r="R212" s="320">
        <v>0</v>
      </c>
      <c r="S212" s="320">
        <v>0</v>
      </c>
      <c r="T212" s="320">
        <v>0</v>
      </c>
      <c r="U212" s="320">
        <v>18.692654516653604</v>
      </c>
      <c r="V212" s="315"/>
    </row>
    <row r="213" spans="1:22">
      <c r="A213" s="310"/>
      <c r="B213" s="55" t="s">
        <v>566</v>
      </c>
      <c r="C213" s="307">
        <v>4.1043790283435636E-3</v>
      </c>
      <c r="D213" s="308">
        <v>0</v>
      </c>
      <c r="E213" s="308">
        <v>2.084180712124766E-3</v>
      </c>
      <c r="F213" s="308">
        <v>0</v>
      </c>
      <c r="G213" s="308">
        <v>0</v>
      </c>
      <c r="H213" s="308">
        <v>0</v>
      </c>
      <c r="I213" s="308">
        <v>0</v>
      </c>
      <c r="J213" s="309">
        <v>3.0611723779511474E-3</v>
      </c>
      <c r="K213" s="309">
        <v>0</v>
      </c>
      <c r="L213" s="308">
        <v>0</v>
      </c>
      <c r="M213" s="308">
        <v>0</v>
      </c>
      <c r="N213" s="308">
        <v>0</v>
      </c>
      <c r="O213" s="309">
        <v>0</v>
      </c>
      <c r="P213" s="309">
        <v>0</v>
      </c>
      <c r="Q213" s="308">
        <v>0</v>
      </c>
      <c r="R213" s="309">
        <v>0</v>
      </c>
      <c r="S213" s="309">
        <v>0</v>
      </c>
      <c r="T213" s="309">
        <v>0</v>
      </c>
      <c r="U213" s="309">
        <v>3.0611723779511474E-3</v>
      </c>
      <c r="V213" s="315"/>
    </row>
    <row r="214" spans="1:22">
      <c r="A214" s="310"/>
      <c r="B214" s="311" t="s">
        <v>567</v>
      </c>
      <c r="C214" s="312">
        <v>0</v>
      </c>
      <c r="D214" s="313">
        <v>0</v>
      </c>
      <c r="E214" s="313">
        <v>8.0921861850197447E-4</v>
      </c>
      <c r="F214" s="313">
        <v>0</v>
      </c>
      <c r="G214" s="313">
        <v>0</v>
      </c>
      <c r="H214" s="313">
        <v>0</v>
      </c>
      <c r="I214" s="313">
        <v>0</v>
      </c>
      <c r="J214" s="314">
        <v>4.2040830054148589E-4</v>
      </c>
      <c r="K214" s="314">
        <v>0</v>
      </c>
      <c r="L214" s="313">
        <v>0</v>
      </c>
      <c r="M214" s="313">
        <v>0</v>
      </c>
      <c r="N214" s="313">
        <v>0</v>
      </c>
      <c r="O214" s="314">
        <v>0</v>
      </c>
      <c r="P214" s="314">
        <v>0</v>
      </c>
      <c r="Q214" s="313">
        <v>0</v>
      </c>
      <c r="R214" s="314">
        <v>0</v>
      </c>
      <c r="S214" s="314">
        <v>0</v>
      </c>
      <c r="T214" s="314">
        <v>0</v>
      </c>
      <c r="U214" s="314">
        <v>4.2040830054148589E-4</v>
      </c>
      <c r="V214" s="315"/>
    </row>
    <row r="215" spans="1:22">
      <c r="A215" s="310"/>
      <c r="B215" s="316" t="s">
        <v>568</v>
      </c>
      <c r="C215" s="317">
        <v>-0.41043790283435638</v>
      </c>
      <c r="D215" s="318">
        <v>0</v>
      </c>
      <c r="E215" s="318">
        <v>-0.12749620936227915</v>
      </c>
      <c r="F215" s="318">
        <v>0</v>
      </c>
      <c r="G215" s="318">
        <v>0</v>
      </c>
      <c r="H215" s="318">
        <v>0</v>
      </c>
      <c r="I215" s="318">
        <v>0</v>
      </c>
      <c r="J215" s="320">
        <v>-0.26407640774096613</v>
      </c>
      <c r="K215" s="320">
        <v>0</v>
      </c>
      <c r="L215" s="318">
        <v>0</v>
      </c>
      <c r="M215" s="318">
        <v>0</v>
      </c>
      <c r="N215" s="318">
        <v>0</v>
      </c>
      <c r="O215" s="320">
        <v>0</v>
      </c>
      <c r="P215" s="320">
        <v>0</v>
      </c>
      <c r="Q215" s="318">
        <v>0</v>
      </c>
      <c r="R215" s="320">
        <v>0</v>
      </c>
      <c r="S215" s="320">
        <v>0</v>
      </c>
      <c r="T215" s="320">
        <v>0</v>
      </c>
      <c r="U215" s="320">
        <v>-0.26407640774096613</v>
      </c>
      <c r="V215" s="315"/>
    </row>
    <row r="216" spans="1:22">
      <c r="A216" s="310"/>
      <c r="B216" s="55" t="s">
        <v>569</v>
      </c>
      <c r="C216" s="307">
        <v>4.1043790283435636E-3</v>
      </c>
      <c r="D216" s="308">
        <v>0</v>
      </c>
      <c r="E216" s="308">
        <v>1.7813510360040733E-4</v>
      </c>
      <c r="F216" s="308">
        <v>0</v>
      </c>
      <c r="G216" s="308">
        <v>0</v>
      </c>
      <c r="H216" s="308">
        <v>0</v>
      </c>
      <c r="I216" s="308">
        <v>0</v>
      </c>
      <c r="J216" s="309">
        <v>2.0968580174778222E-3</v>
      </c>
      <c r="K216" s="309">
        <v>0</v>
      </c>
      <c r="L216" s="308">
        <v>0</v>
      </c>
      <c r="M216" s="308">
        <v>0</v>
      </c>
      <c r="N216" s="308">
        <v>0</v>
      </c>
      <c r="O216" s="309">
        <v>0</v>
      </c>
      <c r="P216" s="309">
        <v>0</v>
      </c>
      <c r="Q216" s="308">
        <v>0</v>
      </c>
      <c r="R216" s="309">
        <v>0</v>
      </c>
      <c r="S216" s="309">
        <v>0</v>
      </c>
      <c r="T216" s="309">
        <v>0</v>
      </c>
      <c r="U216" s="309">
        <v>2.0968580174778222E-3</v>
      </c>
      <c r="V216" s="315"/>
    </row>
    <row r="217" spans="1:22">
      <c r="A217" s="310"/>
      <c r="B217" s="311" t="s">
        <v>570</v>
      </c>
      <c r="C217" s="312">
        <v>2.8610531035052323E-3</v>
      </c>
      <c r="D217" s="313">
        <v>0</v>
      </c>
      <c r="E217" s="313">
        <v>1.6184372370039489E-5</v>
      </c>
      <c r="F217" s="313">
        <v>0</v>
      </c>
      <c r="G217" s="313">
        <v>0</v>
      </c>
      <c r="H217" s="313">
        <v>0</v>
      </c>
      <c r="I217" s="313">
        <v>0</v>
      </c>
      <c r="J217" s="314">
        <v>1.3677283377616341E-3</v>
      </c>
      <c r="K217" s="314">
        <v>0</v>
      </c>
      <c r="L217" s="313">
        <v>0</v>
      </c>
      <c r="M217" s="313">
        <v>0</v>
      </c>
      <c r="N217" s="313">
        <v>0</v>
      </c>
      <c r="O217" s="314">
        <v>0</v>
      </c>
      <c r="P217" s="314">
        <v>0</v>
      </c>
      <c r="Q217" s="313">
        <v>0</v>
      </c>
      <c r="R217" s="314">
        <v>0</v>
      </c>
      <c r="S217" s="314">
        <v>0</v>
      </c>
      <c r="T217" s="314">
        <v>0</v>
      </c>
      <c r="U217" s="314">
        <v>1.3677283377616341E-3</v>
      </c>
      <c r="V217" s="315"/>
    </row>
    <row r="218" spans="1:22">
      <c r="A218" s="310"/>
      <c r="B218" s="316" t="s">
        <v>571</v>
      </c>
      <c r="C218" s="317">
        <v>-0.12433259248383313</v>
      </c>
      <c r="D218" s="318">
        <v>0</v>
      </c>
      <c r="E218" s="318">
        <v>-1.6195073123036786E-2</v>
      </c>
      <c r="F218" s="318">
        <v>0</v>
      </c>
      <c r="G218" s="318">
        <v>0</v>
      </c>
      <c r="H218" s="318">
        <v>0</v>
      </c>
      <c r="I218" s="318">
        <v>0</v>
      </c>
      <c r="J218" s="320">
        <v>-7.2912967971618808E-2</v>
      </c>
      <c r="K218" s="320">
        <v>0</v>
      </c>
      <c r="L218" s="318">
        <v>0</v>
      </c>
      <c r="M218" s="318">
        <v>0</v>
      </c>
      <c r="N218" s="318">
        <v>0</v>
      </c>
      <c r="O218" s="320">
        <v>0</v>
      </c>
      <c r="P218" s="320">
        <v>0</v>
      </c>
      <c r="Q218" s="318">
        <v>0</v>
      </c>
      <c r="R218" s="320">
        <v>0</v>
      </c>
      <c r="S218" s="320">
        <v>0</v>
      </c>
      <c r="T218" s="320">
        <v>0</v>
      </c>
      <c r="U218" s="320">
        <v>-7.2912967971618808E-2</v>
      </c>
      <c r="V218" s="315"/>
    </row>
    <row r="219" spans="1:22">
      <c r="A219" s="310"/>
      <c r="B219" s="55" t="s">
        <v>572</v>
      </c>
      <c r="C219" s="307">
        <v>0</v>
      </c>
      <c r="D219" s="308">
        <v>0</v>
      </c>
      <c r="E219" s="308">
        <v>0</v>
      </c>
      <c r="F219" s="308">
        <v>0</v>
      </c>
      <c r="G219" s="308">
        <v>0</v>
      </c>
      <c r="H219" s="308">
        <v>0</v>
      </c>
      <c r="I219" s="308">
        <v>0</v>
      </c>
      <c r="J219" s="309">
        <v>0</v>
      </c>
      <c r="K219" s="309">
        <v>0</v>
      </c>
      <c r="L219" s="308">
        <v>0</v>
      </c>
      <c r="M219" s="308">
        <v>0</v>
      </c>
      <c r="N219" s="308">
        <v>0</v>
      </c>
      <c r="O219" s="309">
        <v>0</v>
      </c>
      <c r="P219" s="309">
        <v>0</v>
      </c>
      <c r="Q219" s="308">
        <v>0</v>
      </c>
      <c r="R219" s="309">
        <v>0</v>
      </c>
      <c r="S219" s="309">
        <v>0</v>
      </c>
      <c r="T219" s="309">
        <v>0</v>
      </c>
      <c r="U219" s="309">
        <v>0</v>
      </c>
      <c r="V219" s="315"/>
    </row>
    <row r="220" spans="1:22">
      <c r="A220" s="310"/>
      <c r="B220" s="311" t="s">
        <v>573</v>
      </c>
      <c r="C220" s="312">
        <v>0</v>
      </c>
      <c r="D220" s="313">
        <v>0</v>
      </c>
      <c r="E220" s="313">
        <v>0</v>
      </c>
      <c r="F220" s="313">
        <v>0</v>
      </c>
      <c r="G220" s="313">
        <v>0</v>
      </c>
      <c r="H220" s="313">
        <v>0</v>
      </c>
      <c r="I220" s="313">
        <v>0</v>
      </c>
      <c r="J220" s="314">
        <v>0</v>
      </c>
      <c r="K220" s="314">
        <v>0</v>
      </c>
      <c r="L220" s="313">
        <v>0</v>
      </c>
      <c r="M220" s="313">
        <v>0</v>
      </c>
      <c r="N220" s="313">
        <v>0</v>
      </c>
      <c r="O220" s="314">
        <v>0</v>
      </c>
      <c r="P220" s="314">
        <v>0</v>
      </c>
      <c r="Q220" s="313">
        <v>0</v>
      </c>
      <c r="R220" s="314">
        <v>0</v>
      </c>
      <c r="S220" s="314">
        <v>0</v>
      </c>
      <c r="T220" s="314">
        <v>0</v>
      </c>
      <c r="U220" s="314">
        <v>0</v>
      </c>
      <c r="V220" s="315"/>
    </row>
    <row r="221" spans="1:22" ht="15" thickBot="1">
      <c r="A221" s="326"/>
      <c r="B221" s="327" t="s">
        <v>574</v>
      </c>
      <c r="C221" s="328">
        <v>0</v>
      </c>
      <c r="D221" s="329">
        <v>0</v>
      </c>
      <c r="E221" s="329">
        <v>0</v>
      </c>
      <c r="F221" s="329">
        <v>0</v>
      </c>
      <c r="G221" s="329">
        <v>0</v>
      </c>
      <c r="H221" s="329">
        <v>0</v>
      </c>
      <c r="I221" s="329">
        <v>0</v>
      </c>
      <c r="J221" s="330">
        <v>0</v>
      </c>
      <c r="K221" s="330">
        <v>0</v>
      </c>
      <c r="L221" s="329">
        <v>0</v>
      </c>
      <c r="M221" s="329">
        <v>0</v>
      </c>
      <c r="N221" s="329">
        <v>0</v>
      </c>
      <c r="O221" s="330">
        <v>0</v>
      </c>
      <c r="P221" s="330">
        <v>0</v>
      </c>
      <c r="Q221" s="329">
        <v>0</v>
      </c>
      <c r="R221" s="330">
        <v>0</v>
      </c>
      <c r="S221" s="330">
        <v>0</v>
      </c>
      <c r="T221" s="330">
        <v>0</v>
      </c>
      <c r="U221" s="330">
        <v>0</v>
      </c>
      <c r="V221" s="315"/>
    </row>
    <row r="222" spans="1:22">
      <c r="A222" s="306" t="s">
        <v>213</v>
      </c>
      <c r="B222" s="55" t="s">
        <v>539</v>
      </c>
      <c r="C222" s="307">
        <v>0.95404364569961475</v>
      </c>
      <c r="D222" s="308">
        <v>0.85959798666307607</v>
      </c>
      <c r="E222" s="308">
        <v>0.80049235654900985</v>
      </c>
      <c r="F222" s="308">
        <v>0.71406043246528883</v>
      </c>
      <c r="G222" s="308">
        <v>0.69724025974025972</v>
      </c>
      <c r="H222" s="308">
        <v>0.58268275372604728</v>
      </c>
      <c r="I222" s="308">
        <v>0</v>
      </c>
      <c r="J222" s="309">
        <v>0.82814677764193578</v>
      </c>
      <c r="K222" s="309">
        <v>0</v>
      </c>
      <c r="L222" s="308">
        <v>0.78935082041697913</v>
      </c>
      <c r="M222" s="308">
        <v>0.70658061968615837</v>
      </c>
      <c r="N222" s="308">
        <v>0.74118961084439827</v>
      </c>
      <c r="O222" s="309">
        <v>0.74503353362399716</v>
      </c>
      <c r="P222" s="309">
        <v>0.77956433033077188</v>
      </c>
      <c r="Q222" s="308">
        <v>0.99392712550607287</v>
      </c>
      <c r="R222" s="309">
        <v>0.79975754359433082</v>
      </c>
      <c r="S222" s="309">
        <v>0</v>
      </c>
      <c r="T222" s="309">
        <v>0</v>
      </c>
      <c r="U222" s="309">
        <v>0.80663815322686028</v>
      </c>
      <c r="V222" s="315"/>
    </row>
    <row r="223" spans="1:22">
      <c r="A223" s="310"/>
      <c r="B223" s="311" t="s">
        <v>540</v>
      </c>
      <c r="C223" s="312">
        <v>0.67226786158825036</v>
      </c>
      <c r="D223" s="313">
        <v>0.72036381856758958</v>
      </c>
      <c r="E223" s="313">
        <v>0.60041296219418105</v>
      </c>
      <c r="F223" s="313">
        <v>0.51047624244143153</v>
      </c>
      <c r="G223" s="313">
        <v>0</v>
      </c>
      <c r="H223" s="313">
        <v>0.51570881226053644</v>
      </c>
      <c r="I223" s="313">
        <v>0</v>
      </c>
      <c r="J223" s="314">
        <v>0.6212528603013564</v>
      </c>
      <c r="K223" s="314">
        <v>0</v>
      </c>
      <c r="L223" s="313">
        <v>0.44143373388796769</v>
      </c>
      <c r="M223" s="313">
        <v>0.51917058056546783</v>
      </c>
      <c r="N223" s="313">
        <v>0.54242141180507319</v>
      </c>
      <c r="O223" s="314">
        <v>0.48840557955289998</v>
      </c>
      <c r="P223" s="314">
        <v>0.6912755254024</v>
      </c>
      <c r="Q223" s="313">
        <v>0.91390728476821192</v>
      </c>
      <c r="R223" s="314">
        <v>0.71198370513246223</v>
      </c>
      <c r="S223" s="314">
        <v>0</v>
      </c>
      <c r="T223" s="314">
        <v>0</v>
      </c>
      <c r="U223" s="314">
        <v>0.59549793404053686</v>
      </c>
      <c r="V223" s="315"/>
    </row>
    <row r="224" spans="1:22">
      <c r="A224" s="310"/>
      <c r="B224" s="316" t="s">
        <v>541</v>
      </c>
      <c r="C224" s="317">
        <v>-28.177578411136437</v>
      </c>
      <c r="D224" s="318">
        <v>-13.92341680954865</v>
      </c>
      <c r="E224" s="318">
        <v>-20.007939435482879</v>
      </c>
      <c r="F224" s="318">
        <v>-20.35841900238573</v>
      </c>
      <c r="G224" s="318">
        <v>-69.724025974025977</v>
      </c>
      <c r="H224" s="318">
        <v>-6.6973941465510833</v>
      </c>
      <c r="I224" s="318">
        <v>0</v>
      </c>
      <c r="J224" s="320">
        <v>-20.689391734057939</v>
      </c>
      <c r="K224" s="320">
        <v>0</v>
      </c>
      <c r="L224" s="318">
        <v>-34.791708652901143</v>
      </c>
      <c r="M224" s="318">
        <v>-18.741003912069054</v>
      </c>
      <c r="N224" s="318">
        <v>-19.876819903932507</v>
      </c>
      <c r="O224" s="320">
        <v>-25.662795407109719</v>
      </c>
      <c r="P224" s="320">
        <v>-8.8288804928371878</v>
      </c>
      <c r="Q224" s="318">
        <v>-8.0019840737860939</v>
      </c>
      <c r="R224" s="320">
        <v>-8.7773838461868596</v>
      </c>
      <c r="S224" s="320">
        <v>0</v>
      </c>
      <c r="T224" s="320">
        <v>0</v>
      </c>
      <c r="U224" s="320">
        <v>-21.114021918632343</v>
      </c>
      <c r="V224" s="315"/>
    </row>
    <row r="225" spans="1:22">
      <c r="A225" s="310"/>
      <c r="B225" s="55" t="s">
        <v>542</v>
      </c>
      <c r="C225" s="307">
        <v>0</v>
      </c>
      <c r="D225" s="308">
        <v>0</v>
      </c>
      <c r="E225" s="308">
        <v>0</v>
      </c>
      <c r="F225" s="308">
        <v>0</v>
      </c>
      <c r="G225" s="308">
        <v>0</v>
      </c>
      <c r="H225" s="308">
        <v>0</v>
      </c>
      <c r="I225" s="308">
        <v>0</v>
      </c>
      <c r="J225" s="309">
        <v>0</v>
      </c>
      <c r="K225" s="309">
        <v>0</v>
      </c>
      <c r="L225" s="308">
        <v>0</v>
      </c>
      <c r="M225" s="308">
        <v>0</v>
      </c>
      <c r="N225" s="308">
        <v>0</v>
      </c>
      <c r="O225" s="309">
        <v>0</v>
      </c>
      <c r="P225" s="309">
        <v>0</v>
      </c>
      <c r="Q225" s="308">
        <v>0</v>
      </c>
      <c r="R225" s="309">
        <v>0</v>
      </c>
      <c r="S225" s="309">
        <v>0</v>
      </c>
      <c r="T225" s="309">
        <v>0</v>
      </c>
      <c r="U225" s="309">
        <v>0</v>
      </c>
      <c r="V225" s="315"/>
    </row>
    <row r="226" spans="1:22">
      <c r="A226" s="310"/>
      <c r="B226" s="311" t="s">
        <v>543</v>
      </c>
      <c r="C226" s="312">
        <v>0</v>
      </c>
      <c r="D226" s="313">
        <v>0</v>
      </c>
      <c r="E226" s="313">
        <v>0</v>
      </c>
      <c r="F226" s="313">
        <v>0</v>
      </c>
      <c r="G226" s="313">
        <v>0</v>
      </c>
      <c r="H226" s="313">
        <v>0</v>
      </c>
      <c r="I226" s="313">
        <v>0</v>
      </c>
      <c r="J226" s="314">
        <v>0</v>
      </c>
      <c r="K226" s="314">
        <v>0</v>
      </c>
      <c r="L226" s="313">
        <v>0</v>
      </c>
      <c r="M226" s="313">
        <v>0</v>
      </c>
      <c r="N226" s="313">
        <v>0</v>
      </c>
      <c r="O226" s="314">
        <v>0</v>
      </c>
      <c r="P226" s="314">
        <v>0</v>
      </c>
      <c r="Q226" s="313">
        <v>0</v>
      </c>
      <c r="R226" s="314">
        <v>0</v>
      </c>
      <c r="S226" s="314">
        <v>0</v>
      </c>
      <c r="T226" s="314">
        <v>0</v>
      </c>
      <c r="U226" s="314">
        <v>0</v>
      </c>
      <c r="V226" s="315"/>
    </row>
    <row r="227" spans="1:22">
      <c r="A227" s="310"/>
      <c r="B227" s="316" t="s">
        <v>544</v>
      </c>
      <c r="C227" s="317">
        <v>0</v>
      </c>
      <c r="D227" s="318">
        <v>0</v>
      </c>
      <c r="E227" s="318">
        <v>0</v>
      </c>
      <c r="F227" s="318">
        <v>0</v>
      </c>
      <c r="G227" s="318">
        <v>0</v>
      </c>
      <c r="H227" s="318">
        <v>0</v>
      </c>
      <c r="I227" s="318">
        <v>0</v>
      </c>
      <c r="J227" s="320">
        <v>0</v>
      </c>
      <c r="K227" s="320">
        <v>0</v>
      </c>
      <c r="L227" s="318">
        <v>0</v>
      </c>
      <c r="M227" s="318">
        <v>0</v>
      </c>
      <c r="N227" s="318">
        <v>0</v>
      </c>
      <c r="O227" s="320">
        <v>0</v>
      </c>
      <c r="P227" s="320">
        <v>0</v>
      </c>
      <c r="Q227" s="318">
        <v>0</v>
      </c>
      <c r="R227" s="320">
        <v>0</v>
      </c>
      <c r="S227" s="320">
        <v>0</v>
      </c>
      <c r="T227" s="320">
        <v>0</v>
      </c>
      <c r="U227" s="320">
        <v>0</v>
      </c>
      <c r="V227" s="315"/>
    </row>
    <row r="228" spans="1:22">
      <c r="A228" s="310"/>
      <c r="B228" s="55" t="s">
        <v>545</v>
      </c>
      <c r="C228" s="307">
        <v>4.5956354300385173E-2</v>
      </c>
      <c r="D228" s="308">
        <v>0.1404020133369239</v>
      </c>
      <c r="E228" s="308">
        <v>0.1995076434509902</v>
      </c>
      <c r="F228" s="308">
        <v>0.28593956753471123</v>
      </c>
      <c r="G228" s="308">
        <v>0.30275974025974028</v>
      </c>
      <c r="H228" s="308">
        <v>0.41731724627395284</v>
      </c>
      <c r="I228" s="308">
        <v>0</v>
      </c>
      <c r="J228" s="309">
        <v>0.17185322235806394</v>
      </c>
      <c r="K228" s="309">
        <v>0</v>
      </c>
      <c r="L228" s="308">
        <v>0.2106491795830209</v>
      </c>
      <c r="M228" s="308">
        <v>0.29341938031384168</v>
      </c>
      <c r="N228" s="308">
        <v>0.25881038915560178</v>
      </c>
      <c r="O228" s="309">
        <v>0.2549664663760029</v>
      </c>
      <c r="P228" s="309">
        <v>0.22043566966922803</v>
      </c>
      <c r="Q228" s="308">
        <v>6.0728744939271273E-3</v>
      </c>
      <c r="R228" s="309">
        <v>0.20024245640566907</v>
      </c>
      <c r="S228" s="309">
        <v>0</v>
      </c>
      <c r="T228" s="309">
        <v>0</v>
      </c>
      <c r="U228" s="309">
        <v>0.19336184677313956</v>
      </c>
      <c r="V228" s="315"/>
    </row>
    <row r="229" spans="1:22">
      <c r="A229" s="310"/>
      <c r="B229" s="311" t="s">
        <v>546</v>
      </c>
      <c r="C229" s="312">
        <v>0.3277321384117497</v>
      </c>
      <c r="D229" s="313">
        <v>0.27963618143241037</v>
      </c>
      <c r="E229" s="313">
        <v>0.39958703780581906</v>
      </c>
      <c r="F229" s="313">
        <v>0.48952375755856847</v>
      </c>
      <c r="G229" s="313">
        <v>1</v>
      </c>
      <c r="H229" s="313">
        <v>0.48429118773946361</v>
      </c>
      <c r="I229" s="313">
        <v>0</v>
      </c>
      <c r="J229" s="314">
        <v>0.37874713969864365</v>
      </c>
      <c r="K229" s="314">
        <v>0</v>
      </c>
      <c r="L229" s="313">
        <v>0.55856626611203231</v>
      </c>
      <c r="M229" s="313">
        <v>0.48082941943453211</v>
      </c>
      <c r="N229" s="313">
        <v>0.45757858819492686</v>
      </c>
      <c r="O229" s="314">
        <v>0.51159442044710002</v>
      </c>
      <c r="P229" s="314">
        <v>0.30872447459760005</v>
      </c>
      <c r="Q229" s="313">
        <v>8.6092715231788103E-2</v>
      </c>
      <c r="R229" s="314">
        <v>0.28801629486753771</v>
      </c>
      <c r="S229" s="314">
        <v>0</v>
      </c>
      <c r="T229" s="314">
        <v>0</v>
      </c>
      <c r="U229" s="314">
        <v>0.4045020659594632</v>
      </c>
      <c r="V229" s="315"/>
    </row>
    <row r="230" spans="1:22">
      <c r="A230" s="310"/>
      <c r="B230" s="316" t="s">
        <v>547</v>
      </c>
      <c r="C230" s="317">
        <v>28.177578411136452</v>
      </c>
      <c r="D230" s="318">
        <v>13.923416809548646</v>
      </c>
      <c r="E230" s="318">
        <v>20.007939435482886</v>
      </c>
      <c r="F230" s="318">
        <v>20.358419002385723</v>
      </c>
      <c r="G230" s="318">
        <v>69.724025974025977</v>
      </c>
      <c r="H230" s="318">
        <v>6.697394146551078</v>
      </c>
      <c r="I230" s="318">
        <v>0</v>
      </c>
      <c r="J230" s="320">
        <v>20.68939173405797</v>
      </c>
      <c r="K230" s="320">
        <v>0</v>
      </c>
      <c r="L230" s="318">
        <v>34.791708652901143</v>
      </c>
      <c r="M230" s="318">
        <v>18.741003912069043</v>
      </c>
      <c r="N230" s="318">
        <v>19.876819903932507</v>
      </c>
      <c r="O230" s="320">
        <v>25.662795407109712</v>
      </c>
      <c r="P230" s="320">
        <v>8.828880492837202</v>
      </c>
      <c r="Q230" s="318">
        <v>8.0019840737860974</v>
      </c>
      <c r="R230" s="320">
        <v>8.777383846186865</v>
      </c>
      <c r="S230" s="320">
        <v>0</v>
      </c>
      <c r="T230" s="320">
        <v>0</v>
      </c>
      <c r="U230" s="320">
        <v>21.114021918632364</v>
      </c>
      <c r="V230" s="315"/>
    </row>
    <row r="231" spans="1:22">
      <c r="A231" s="310"/>
      <c r="B231" s="55" t="s">
        <v>548</v>
      </c>
      <c r="C231" s="307">
        <v>0</v>
      </c>
      <c r="D231" s="308">
        <v>0</v>
      </c>
      <c r="E231" s="308">
        <v>0</v>
      </c>
      <c r="F231" s="308">
        <v>0</v>
      </c>
      <c r="G231" s="308">
        <v>0</v>
      </c>
      <c r="H231" s="308">
        <v>0</v>
      </c>
      <c r="I231" s="308">
        <v>0</v>
      </c>
      <c r="J231" s="309">
        <v>0</v>
      </c>
      <c r="K231" s="309">
        <v>0</v>
      </c>
      <c r="L231" s="308">
        <v>0</v>
      </c>
      <c r="M231" s="308">
        <v>0</v>
      </c>
      <c r="N231" s="308">
        <v>0</v>
      </c>
      <c r="O231" s="309">
        <v>0</v>
      </c>
      <c r="P231" s="309">
        <v>0</v>
      </c>
      <c r="Q231" s="308">
        <v>0</v>
      </c>
      <c r="R231" s="309">
        <v>0</v>
      </c>
      <c r="S231" s="309">
        <v>0</v>
      </c>
      <c r="T231" s="309">
        <v>0</v>
      </c>
      <c r="U231" s="309">
        <v>0</v>
      </c>
      <c r="V231" s="315"/>
    </row>
    <row r="232" spans="1:22">
      <c r="A232" s="310"/>
      <c r="B232" s="311" t="s">
        <v>549</v>
      </c>
      <c r="C232" s="312">
        <v>0</v>
      </c>
      <c r="D232" s="313">
        <v>0</v>
      </c>
      <c r="E232" s="313">
        <v>0</v>
      </c>
      <c r="F232" s="313">
        <v>0</v>
      </c>
      <c r="G232" s="313">
        <v>0</v>
      </c>
      <c r="H232" s="313">
        <v>0</v>
      </c>
      <c r="I232" s="313">
        <v>0</v>
      </c>
      <c r="J232" s="314">
        <v>0</v>
      </c>
      <c r="K232" s="314">
        <v>0</v>
      </c>
      <c r="L232" s="313">
        <v>0</v>
      </c>
      <c r="M232" s="313">
        <v>0</v>
      </c>
      <c r="N232" s="313">
        <v>0</v>
      </c>
      <c r="O232" s="314">
        <v>0</v>
      </c>
      <c r="P232" s="314">
        <v>0</v>
      </c>
      <c r="Q232" s="313">
        <v>0</v>
      </c>
      <c r="R232" s="314">
        <v>0</v>
      </c>
      <c r="S232" s="314">
        <v>0</v>
      </c>
      <c r="T232" s="314">
        <v>0</v>
      </c>
      <c r="U232" s="314">
        <v>0</v>
      </c>
      <c r="V232" s="315"/>
    </row>
    <row r="233" spans="1:22">
      <c r="A233" s="310"/>
      <c r="B233" s="316" t="s">
        <v>550</v>
      </c>
      <c r="C233" s="317">
        <v>0</v>
      </c>
      <c r="D233" s="318">
        <v>0</v>
      </c>
      <c r="E233" s="318">
        <v>0</v>
      </c>
      <c r="F233" s="318">
        <v>0</v>
      </c>
      <c r="G233" s="318">
        <v>0</v>
      </c>
      <c r="H233" s="318">
        <v>0</v>
      </c>
      <c r="I233" s="318">
        <v>0</v>
      </c>
      <c r="J233" s="320">
        <v>0</v>
      </c>
      <c r="K233" s="320">
        <v>0</v>
      </c>
      <c r="L233" s="318">
        <v>0</v>
      </c>
      <c r="M233" s="318">
        <v>0</v>
      </c>
      <c r="N233" s="318">
        <v>0</v>
      </c>
      <c r="O233" s="320">
        <v>0</v>
      </c>
      <c r="P233" s="320">
        <v>0</v>
      </c>
      <c r="Q233" s="318">
        <v>0</v>
      </c>
      <c r="R233" s="320">
        <v>0</v>
      </c>
      <c r="S233" s="320">
        <v>0</v>
      </c>
      <c r="T233" s="320">
        <v>0</v>
      </c>
      <c r="U233" s="320">
        <v>0</v>
      </c>
      <c r="V233" s="315"/>
    </row>
    <row r="234" spans="1:22">
      <c r="A234" s="310"/>
      <c r="B234" s="55" t="s">
        <v>551</v>
      </c>
      <c r="C234" s="307">
        <v>0</v>
      </c>
      <c r="D234" s="308">
        <v>0</v>
      </c>
      <c r="E234" s="308">
        <v>0</v>
      </c>
      <c r="F234" s="308">
        <v>0</v>
      </c>
      <c r="G234" s="308">
        <v>0</v>
      </c>
      <c r="H234" s="308">
        <v>0</v>
      </c>
      <c r="I234" s="308">
        <v>0</v>
      </c>
      <c r="J234" s="309">
        <v>0</v>
      </c>
      <c r="K234" s="309">
        <v>0</v>
      </c>
      <c r="L234" s="308">
        <v>0</v>
      </c>
      <c r="M234" s="308">
        <v>0</v>
      </c>
      <c r="N234" s="308">
        <v>0</v>
      </c>
      <c r="O234" s="309">
        <v>0</v>
      </c>
      <c r="P234" s="309">
        <v>0</v>
      </c>
      <c r="Q234" s="308">
        <v>0</v>
      </c>
      <c r="R234" s="309">
        <v>0</v>
      </c>
      <c r="S234" s="309">
        <v>0</v>
      </c>
      <c r="T234" s="309">
        <v>0</v>
      </c>
      <c r="U234" s="309">
        <v>0</v>
      </c>
      <c r="V234" s="315"/>
    </row>
    <row r="235" spans="1:22">
      <c r="A235" s="310"/>
      <c r="B235" s="311" t="s">
        <v>552</v>
      </c>
      <c r="C235" s="312">
        <v>0</v>
      </c>
      <c r="D235" s="313">
        <v>0</v>
      </c>
      <c r="E235" s="313">
        <v>0</v>
      </c>
      <c r="F235" s="313">
        <v>0</v>
      </c>
      <c r="G235" s="313">
        <v>0</v>
      </c>
      <c r="H235" s="313">
        <v>0</v>
      </c>
      <c r="I235" s="313">
        <v>0</v>
      </c>
      <c r="J235" s="314">
        <v>0</v>
      </c>
      <c r="K235" s="314">
        <v>0</v>
      </c>
      <c r="L235" s="313">
        <v>0</v>
      </c>
      <c r="M235" s="313">
        <v>0</v>
      </c>
      <c r="N235" s="313">
        <v>0</v>
      </c>
      <c r="O235" s="314">
        <v>0</v>
      </c>
      <c r="P235" s="314">
        <v>0</v>
      </c>
      <c r="Q235" s="313">
        <v>0</v>
      </c>
      <c r="R235" s="314">
        <v>0</v>
      </c>
      <c r="S235" s="314">
        <v>0</v>
      </c>
      <c r="T235" s="314">
        <v>0</v>
      </c>
      <c r="U235" s="314">
        <v>0</v>
      </c>
      <c r="V235" s="315"/>
    </row>
    <row r="236" spans="1:22">
      <c r="A236" s="310"/>
      <c r="B236" s="316" t="s">
        <v>553</v>
      </c>
      <c r="C236" s="317">
        <v>0</v>
      </c>
      <c r="D236" s="318">
        <v>0</v>
      </c>
      <c r="E236" s="318">
        <v>0</v>
      </c>
      <c r="F236" s="318">
        <v>0</v>
      </c>
      <c r="G236" s="318">
        <v>0</v>
      </c>
      <c r="H236" s="318">
        <v>0</v>
      </c>
      <c r="I236" s="318">
        <v>0</v>
      </c>
      <c r="J236" s="320">
        <v>0</v>
      </c>
      <c r="K236" s="320">
        <v>0</v>
      </c>
      <c r="L236" s="318">
        <v>0</v>
      </c>
      <c r="M236" s="318">
        <v>0</v>
      </c>
      <c r="N236" s="318">
        <v>0</v>
      </c>
      <c r="O236" s="320">
        <v>0</v>
      </c>
      <c r="P236" s="320">
        <v>0</v>
      </c>
      <c r="Q236" s="318">
        <v>0</v>
      </c>
      <c r="R236" s="320">
        <v>0</v>
      </c>
      <c r="S236" s="320">
        <v>0</v>
      </c>
      <c r="T236" s="320">
        <v>0</v>
      </c>
      <c r="U236" s="320">
        <v>0</v>
      </c>
      <c r="V236" s="315"/>
    </row>
    <row r="237" spans="1:22">
      <c r="A237" s="310"/>
      <c r="B237" s="55" t="s">
        <v>554</v>
      </c>
      <c r="C237" s="307">
        <v>0</v>
      </c>
      <c r="D237" s="308">
        <v>0</v>
      </c>
      <c r="E237" s="308">
        <v>0</v>
      </c>
      <c r="F237" s="308">
        <v>0</v>
      </c>
      <c r="G237" s="308">
        <v>0</v>
      </c>
      <c r="H237" s="308">
        <v>0</v>
      </c>
      <c r="I237" s="308">
        <v>0</v>
      </c>
      <c r="J237" s="309">
        <v>0</v>
      </c>
      <c r="K237" s="309">
        <v>0</v>
      </c>
      <c r="L237" s="308">
        <v>0</v>
      </c>
      <c r="M237" s="308">
        <v>0</v>
      </c>
      <c r="N237" s="308">
        <v>0</v>
      </c>
      <c r="O237" s="309">
        <v>0</v>
      </c>
      <c r="P237" s="309">
        <v>0</v>
      </c>
      <c r="Q237" s="308">
        <v>0</v>
      </c>
      <c r="R237" s="309">
        <v>0</v>
      </c>
      <c r="S237" s="309">
        <v>0</v>
      </c>
      <c r="T237" s="309">
        <v>0</v>
      </c>
      <c r="U237" s="309">
        <v>0</v>
      </c>
      <c r="V237" s="315"/>
    </row>
    <row r="238" spans="1:22">
      <c r="A238" s="310"/>
      <c r="B238" s="311" t="s">
        <v>555</v>
      </c>
      <c r="C238" s="312">
        <v>0</v>
      </c>
      <c r="D238" s="313">
        <v>0</v>
      </c>
      <c r="E238" s="313">
        <v>0</v>
      </c>
      <c r="F238" s="313">
        <v>0</v>
      </c>
      <c r="G238" s="313">
        <v>0</v>
      </c>
      <c r="H238" s="313">
        <v>0</v>
      </c>
      <c r="I238" s="313">
        <v>0</v>
      </c>
      <c r="J238" s="314">
        <v>0</v>
      </c>
      <c r="K238" s="314">
        <v>0</v>
      </c>
      <c r="L238" s="313">
        <v>0</v>
      </c>
      <c r="M238" s="313">
        <v>0</v>
      </c>
      <c r="N238" s="313">
        <v>0</v>
      </c>
      <c r="O238" s="314">
        <v>0</v>
      </c>
      <c r="P238" s="314">
        <v>0</v>
      </c>
      <c r="Q238" s="313">
        <v>0</v>
      </c>
      <c r="R238" s="314">
        <v>0</v>
      </c>
      <c r="S238" s="314">
        <v>0</v>
      </c>
      <c r="T238" s="314">
        <v>0</v>
      </c>
      <c r="U238" s="314">
        <v>0</v>
      </c>
      <c r="V238" s="315"/>
    </row>
    <row r="239" spans="1:22" ht="15" thickBot="1">
      <c r="A239" s="310"/>
      <c r="B239" s="322" t="s">
        <v>556</v>
      </c>
      <c r="C239" s="323">
        <v>0</v>
      </c>
      <c r="D239" s="324">
        <v>0</v>
      </c>
      <c r="E239" s="324">
        <v>0</v>
      </c>
      <c r="F239" s="324">
        <v>0</v>
      </c>
      <c r="G239" s="324">
        <v>0</v>
      </c>
      <c r="H239" s="324">
        <v>0</v>
      </c>
      <c r="I239" s="324">
        <v>0</v>
      </c>
      <c r="J239" s="325">
        <v>0</v>
      </c>
      <c r="K239" s="325">
        <v>0</v>
      </c>
      <c r="L239" s="324">
        <v>0</v>
      </c>
      <c r="M239" s="324">
        <v>0</v>
      </c>
      <c r="N239" s="324">
        <v>0</v>
      </c>
      <c r="O239" s="325">
        <v>0</v>
      </c>
      <c r="P239" s="325">
        <v>0</v>
      </c>
      <c r="Q239" s="324">
        <v>0</v>
      </c>
      <c r="R239" s="325">
        <v>0</v>
      </c>
      <c r="S239" s="325">
        <v>0</v>
      </c>
      <c r="T239" s="325">
        <v>0</v>
      </c>
      <c r="U239" s="325">
        <v>0</v>
      </c>
      <c r="V239" s="315"/>
    </row>
    <row r="240" spans="1:22" ht="15" thickTop="1">
      <c r="A240" s="310"/>
      <c r="B240" s="311" t="s">
        <v>557</v>
      </c>
      <c r="C240" s="312">
        <v>0.92662514597119561</v>
      </c>
      <c r="D240" s="313">
        <v>0.79261582929475882</v>
      </c>
      <c r="E240" s="313">
        <v>0.55141201916664151</v>
      </c>
      <c r="F240" s="313">
        <v>0.31247243681149844</v>
      </c>
      <c r="G240" s="313">
        <v>0.73103448275862071</v>
      </c>
      <c r="H240" s="313">
        <v>0</v>
      </c>
      <c r="I240" s="313">
        <v>0.91854058916123227</v>
      </c>
      <c r="J240" s="314">
        <v>0.65388391040216798</v>
      </c>
      <c r="K240" s="314">
        <v>0</v>
      </c>
      <c r="L240" s="313">
        <v>0</v>
      </c>
      <c r="M240" s="313">
        <v>0</v>
      </c>
      <c r="N240" s="313">
        <v>0</v>
      </c>
      <c r="O240" s="314">
        <v>0</v>
      </c>
      <c r="P240" s="314">
        <v>0</v>
      </c>
      <c r="Q240" s="313">
        <v>0</v>
      </c>
      <c r="R240" s="314">
        <v>0</v>
      </c>
      <c r="S240" s="314">
        <v>0</v>
      </c>
      <c r="T240" s="314">
        <v>0</v>
      </c>
      <c r="U240" s="314">
        <v>0.65388391040216798</v>
      </c>
      <c r="V240" s="315"/>
    </row>
    <row r="241" spans="1:22">
      <c r="A241" s="310"/>
      <c r="B241" s="311" t="s">
        <v>558</v>
      </c>
      <c r="C241" s="312">
        <v>0.81099033816425159</v>
      </c>
      <c r="D241" s="313">
        <v>0.70729974668528939</v>
      </c>
      <c r="E241" s="313">
        <v>0.40222567864178949</v>
      </c>
      <c r="F241" s="313">
        <v>0.2274495590021984</v>
      </c>
      <c r="G241" s="313">
        <v>0</v>
      </c>
      <c r="H241" s="313">
        <v>0</v>
      </c>
      <c r="I241" s="313">
        <v>0.92946058091286299</v>
      </c>
      <c r="J241" s="314">
        <v>0.53120721797986548</v>
      </c>
      <c r="K241" s="314">
        <v>0</v>
      </c>
      <c r="L241" s="313">
        <v>0</v>
      </c>
      <c r="M241" s="313">
        <v>0</v>
      </c>
      <c r="N241" s="313">
        <v>0</v>
      </c>
      <c r="O241" s="314">
        <v>0</v>
      </c>
      <c r="P241" s="314">
        <v>0</v>
      </c>
      <c r="Q241" s="313">
        <v>0</v>
      </c>
      <c r="R241" s="314">
        <v>0</v>
      </c>
      <c r="S241" s="314">
        <v>0</v>
      </c>
      <c r="T241" s="314">
        <v>0</v>
      </c>
      <c r="U241" s="314">
        <v>0.53120721797986548</v>
      </c>
      <c r="V241" s="315"/>
    </row>
    <row r="242" spans="1:22">
      <c r="A242" s="310"/>
      <c r="B242" s="316" t="s">
        <v>559</v>
      </c>
      <c r="C242" s="317">
        <v>-11.563480780694402</v>
      </c>
      <c r="D242" s="318">
        <v>-8.5316082609469426</v>
      </c>
      <c r="E242" s="318">
        <v>-14.918634052485203</v>
      </c>
      <c r="F242" s="318">
        <v>-8.5022877809300041</v>
      </c>
      <c r="G242" s="318">
        <v>-73.103448275862064</v>
      </c>
      <c r="H242" s="318">
        <v>0</v>
      </c>
      <c r="I242" s="318">
        <v>1.091999175163072</v>
      </c>
      <c r="J242" s="320">
        <v>-12.26766924223025</v>
      </c>
      <c r="K242" s="320">
        <v>0</v>
      </c>
      <c r="L242" s="318">
        <v>0</v>
      </c>
      <c r="M242" s="318">
        <v>0</v>
      </c>
      <c r="N242" s="318">
        <v>0</v>
      </c>
      <c r="O242" s="320">
        <v>0</v>
      </c>
      <c r="P242" s="320">
        <v>0</v>
      </c>
      <c r="Q242" s="318">
        <v>0</v>
      </c>
      <c r="R242" s="320">
        <v>0</v>
      </c>
      <c r="S242" s="320">
        <v>0</v>
      </c>
      <c r="T242" s="320">
        <v>0</v>
      </c>
      <c r="U242" s="320">
        <v>-12.26766924223025</v>
      </c>
      <c r="V242" s="315"/>
    </row>
    <row r="243" spans="1:22">
      <c r="A243" s="310"/>
      <c r="B243" s="55" t="s">
        <v>560</v>
      </c>
      <c r="C243" s="307">
        <v>0</v>
      </c>
      <c r="D243" s="308">
        <v>0</v>
      </c>
      <c r="E243" s="308">
        <v>0</v>
      </c>
      <c r="F243" s="308">
        <v>0</v>
      </c>
      <c r="G243" s="308">
        <v>0</v>
      </c>
      <c r="H243" s="308">
        <v>0</v>
      </c>
      <c r="I243" s="308">
        <v>0</v>
      </c>
      <c r="J243" s="309">
        <v>0</v>
      </c>
      <c r="K243" s="309">
        <v>0</v>
      </c>
      <c r="L243" s="308">
        <v>0</v>
      </c>
      <c r="M243" s="308">
        <v>0</v>
      </c>
      <c r="N243" s="308">
        <v>0</v>
      </c>
      <c r="O243" s="309">
        <v>0</v>
      </c>
      <c r="P243" s="309">
        <v>0</v>
      </c>
      <c r="Q243" s="308">
        <v>0</v>
      </c>
      <c r="R243" s="309">
        <v>0</v>
      </c>
      <c r="S243" s="309">
        <v>0</v>
      </c>
      <c r="T243" s="309">
        <v>0</v>
      </c>
      <c r="U243" s="309">
        <v>0</v>
      </c>
      <c r="V243" s="315"/>
    </row>
    <row r="244" spans="1:22">
      <c r="A244" s="310"/>
      <c r="B244" s="311" t="s">
        <v>561</v>
      </c>
      <c r="C244" s="312">
        <v>0</v>
      </c>
      <c r="D244" s="313">
        <v>0</v>
      </c>
      <c r="E244" s="313">
        <v>0</v>
      </c>
      <c r="F244" s="313">
        <v>0</v>
      </c>
      <c r="G244" s="313">
        <v>0</v>
      </c>
      <c r="H244" s="313">
        <v>0</v>
      </c>
      <c r="I244" s="313">
        <v>0</v>
      </c>
      <c r="J244" s="314">
        <v>0</v>
      </c>
      <c r="K244" s="314">
        <v>0</v>
      </c>
      <c r="L244" s="313">
        <v>0</v>
      </c>
      <c r="M244" s="313">
        <v>0</v>
      </c>
      <c r="N244" s="313">
        <v>0</v>
      </c>
      <c r="O244" s="314">
        <v>0</v>
      </c>
      <c r="P244" s="314">
        <v>0</v>
      </c>
      <c r="Q244" s="313">
        <v>0</v>
      </c>
      <c r="R244" s="314">
        <v>0</v>
      </c>
      <c r="S244" s="314">
        <v>0</v>
      </c>
      <c r="T244" s="314">
        <v>0</v>
      </c>
      <c r="U244" s="314">
        <v>0</v>
      </c>
      <c r="V244" s="315"/>
    </row>
    <row r="245" spans="1:22">
      <c r="A245" s="310"/>
      <c r="B245" s="316" t="s">
        <v>562</v>
      </c>
      <c r="C245" s="317">
        <v>0</v>
      </c>
      <c r="D245" s="318">
        <v>0</v>
      </c>
      <c r="E245" s="318">
        <v>0</v>
      </c>
      <c r="F245" s="318">
        <v>0</v>
      </c>
      <c r="G245" s="318">
        <v>0</v>
      </c>
      <c r="H245" s="318">
        <v>0</v>
      </c>
      <c r="I245" s="318">
        <v>0</v>
      </c>
      <c r="J245" s="320">
        <v>0</v>
      </c>
      <c r="K245" s="320">
        <v>0</v>
      </c>
      <c r="L245" s="318">
        <v>0</v>
      </c>
      <c r="M245" s="318">
        <v>0</v>
      </c>
      <c r="N245" s="318">
        <v>0</v>
      </c>
      <c r="O245" s="320">
        <v>0</v>
      </c>
      <c r="P245" s="320">
        <v>0</v>
      </c>
      <c r="Q245" s="318">
        <v>0</v>
      </c>
      <c r="R245" s="320">
        <v>0</v>
      </c>
      <c r="S245" s="320">
        <v>0</v>
      </c>
      <c r="T245" s="320">
        <v>0</v>
      </c>
      <c r="U245" s="320">
        <v>0</v>
      </c>
      <c r="V245" s="315"/>
    </row>
    <row r="246" spans="1:22">
      <c r="A246" s="310"/>
      <c r="B246" s="55" t="s">
        <v>563</v>
      </c>
      <c r="C246" s="307">
        <v>7.337485402880449E-2</v>
      </c>
      <c r="D246" s="308">
        <v>0.20738417070524107</v>
      </c>
      <c r="E246" s="308">
        <v>0.44858798083335855</v>
      </c>
      <c r="F246" s="308">
        <v>0.68752756318850161</v>
      </c>
      <c r="G246" s="308">
        <v>0.26896551724137935</v>
      </c>
      <c r="H246" s="308">
        <v>0</v>
      </c>
      <c r="I246" s="308">
        <v>8.1459410838767704E-2</v>
      </c>
      <c r="J246" s="309">
        <v>0.34611608959783208</v>
      </c>
      <c r="K246" s="309">
        <v>0</v>
      </c>
      <c r="L246" s="308">
        <v>0</v>
      </c>
      <c r="M246" s="308">
        <v>0</v>
      </c>
      <c r="N246" s="308">
        <v>0</v>
      </c>
      <c r="O246" s="309">
        <v>0</v>
      </c>
      <c r="P246" s="309">
        <v>0</v>
      </c>
      <c r="Q246" s="308">
        <v>0</v>
      </c>
      <c r="R246" s="309">
        <v>0</v>
      </c>
      <c r="S246" s="309">
        <v>0</v>
      </c>
      <c r="T246" s="309">
        <v>0</v>
      </c>
      <c r="U246" s="309">
        <v>0.34611608959783208</v>
      </c>
      <c r="V246" s="315"/>
    </row>
    <row r="247" spans="1:22">
      <c r="A247" s="310"/>
      <c r="B247" s="311" t="s">
        <v>564</v>
      </c>
      <c r="C247" s="312">
        <v>0.18900966183574833</v>
      </c>
      <c r="D247" s="313">
        <v>0.29270025331471067</v>
      </c>
      <c r="E247" s="313">
        <v>0.59777432135821063</v>
      </c>
      <c r="F247" s="313">
        <v>0.77255044099780157</v>
      </c>
      <c r="G247" s="313">
        <v>1</v>
      </c>
      <c r="H247" s="313">
        <v>0</v>
      </c>
      <c r="I247" s="313">
        <v>7.053941908713697E-2</v>
      </c>
      <c r="J247" s="314">
        <v>0.46879278202013464</v>
      </c>
      <c r="K247" s="314">
        <v>0</v>
      </c>
      <c r="L247" s="313">
        <v>0</v>
      </c>
      <c r="M247" s="313">
        <v>0</v>
      </c>
      <c r="N247" s="313">
        <v>0</v>
      </c>
      <c r="O247" s="314">
        <v>0</v>
      </c>
      <c r="P247" s="314">
        <v>0</v>
      </c>
      <c r="Q247" s="313">
        <v>0</v>
      </c>
      <c r="R247" s="314">
        <v>0</v>
      </c>
      <c r="S247" s="314">
        <v>0</v>
      </c>
      <c r="T247" s="314">
        <v>0</v>
      </c>
      <c r="U247" s="314">
        <v>0.46879278202013464</v>
      </c>
      <c r="V247" s="315"/>
    </row>
    <row r="248" spans="1:22">
      <c r="A248" s="310"/>
      <c r="B248" s="316" t="s">
        <v>565</v>
      </c>
      <c r="C248" s="317">
        <v>11.563480780694384</v>
      </c>
      <c r="D248" s="318">
        <v>8.5316082609469603</v>
      </c>
      <c r="E248" s="318">
        <v>14.918634052485208</v>
      </c>
      <c r="F248" s="318">
        <v>8.5022877809299953</v>
      </c>
      <c r="G248" s="318">
        <v>73.103448275862064</v>
      </c>
      <c r="H248" s="318">
        <v>0</v>
      </c>
      <c r="I248" s="318">
        <v>-1.0919991751630733</v>
      </c>
      <c r="J248" s="320">
        <v>12.267669242230255</v>
      </c>
      <c r="K248" s="320">
        <v>0</v>
      </c>
      <c r="L248" s="318">
        <v>0</v>
      </c>
      <c r="M248" s="318">
        <v>0</v>
      </c>
      <c r="N248" s="318">
        <v>0</v>
      </c>
      <c r="O248" s="320">
        <v>0</v>
      </c>
      <c r="P248" s="320">
        <v>0</v>
      </c>
      <c r="Q248" s="318">
        <v>0</v>
      </c>
      <c r="R248" s="320">
        <v>0</v>
      </c>
      <c r="S248" s="320">
        <v>0</v>
      </c>
      <c r="T248" s="320">
        <v>0</v>
      </c>
      <c r="U248" s="320">
        <v>12.267669242230255</v>
      </c>
      <c r="V248" s="315"/>
    </row>
    <row r="249" spans="1:22">
      <c r="A249" s="310"/>
      <c r="B249" s="55" t="s">
        <v>566</v>
      </c>
      <c r="C249" s="307">
        <v>0</v>
      </c>
      <c r="D249" s="308">
        <v>0</v>
      </c>
      <c r="E249" s="308">
        <v>0</v>
      </c>
      <c r="F249" s="308">
        <v>0</v>
      </c>
      <c r="G249" s="308">
        <v>0</v>
      </c>
      <c r="H249" s="308">
        <v>0</v>
      </c>
      <c r="I249" s="308">
        <v>0</v>
      </c>
      <c r="J249" s="309">
        <v>0</v>
      </c>
      <c r="K249" s="309">
        <v>0</v>
      </c>
      <c r="L249" s="308">
        <v>0</v>
      </c>
      <c r="M249" s="308">
        <v>0</v>
      </c>
      <c r="N249" s="308">
        <v>0</v>
      </c>
      <c r="O249" s="309">
        <v>0</v>
      </c>
      <c r="P249" s="309">
        <v>0</v>
      </c>
      <c r="Q249" s="308">
        <v>0</v>
      </c>
      <c r="R249" s="309">
        <v>0</v>
      </c>
      <c r="S249" s="309">
        <v>0</v>
      </c>
      <c r="T249" s="309">
        <v>0</v>
      </c>
      <c r="U249" s="309">
        <v>0</v>
      </c>
      <c r="V249" s="315"/>
    </row>
    <row r="250" spans="1:22">
      <c r="A250" s="310"/>
      <c r="B250" s="311" t="s">
        <v>567</v>
      </c>
      <c r="C250" s="312">
        <v>0</v>
      </c>
      <c r="D250" s="313">
        <v>0</v>
      </c>
      <c r="E250" s="313">
        <v>0</v>
      </c>
      <c r="F250" s="313">
        <v>0</v>
      </c>
      <c r="G250" s="313">
        <v>0</v>
      </c>
      <c r="H250" s="313">
        <v>0</v>
      </c>
      <c r="I250" s="313">
        <v>0</v>
      </c>
      <c r="J250" s="314">
        <v>0</v>
      </c>
      <c r="K250" s="314">
        <v>0</v>
      </c>
      <c r="L250" s="313">
        <v>0</v>
      </c>
      <c r="M250" s="313">
        <v>0</v>
      </c>
      <c r="N250" s="313">
        <v>0</v>
      </c>
      <c r="O250" s="314">
        <v>0</v>
      </c>
      <c r="P250" s="314">
        <v>0</v>
      </c>
      <c r="Q250" s="313">
        <v>0</v>
      </c>
      <c r="R250" s="314">
        <v>0</v>
      </c>
      <c r="S250" s="314">
        <v>0</v>
      </c>
      <c r="T250" s="314">
        <v>0</v>
      </c>
      <c r="U250" s="314">
        <v>0</v>
      </c>
      <c r="V250" s="315"/>
    </row>
    <row r="251" spans="1:22">
      <c r="A251" s="310"/>
      <c r="B251" s="316" t="s">
        <v>568</v>
      </c>
      <c r="C251" s="317">
        <v>0</v>
      </c>
      <c r="D251" s="318">
        <v>0</v>
      </c>
      <c r="E251" s="318">
        <v>0</v>
      </c>
      <c r="F251" s="318">
        <v>0</v>
      </c>
      <c r="G251" s="318">
        <v>0</v>
      </c>
      <c r="H251" s="318">
        <v>0</v>
      </c>
      <c r="I251" s="318">
        <v>0</v>
      </c>
      <c r="J251" s="320">
        <v>0</v>
      </c>
      <c r="K251" s="320">
        <v>0</v>
      </c>
      <c r="L251" s="318">
        <v>0</v>
      </c>
      <c r="M251" s="318">
        <v>0</v>
      </c>
      <c r="N251" s="318">
        <v>0</v>
      </c>
      <c r="O251" s="320">
        <v>0</v>
      </c>
      <c r="P251" s="320">
        <v>0</v>
      </c>
      <c r="Q251" s="318">
        <v>0</v>
      </c>
      <c r="R251" s="320">
        <v>0</v>
      </c>
      <c r="S251" s="320">
        <v>0</v>
      </c>
      <c r="T251" s="320">
        <v>0</v>
      </c>
      <c r="U251" s="320">
        <v>0</v>
      </c>
      <c r="V251" s="315"/>
    </row>
    <row r="252" spans="1:22">
      <c r="A252" s="310"/>
      <c r="B252" s="55" t="s">
        <v>569</v>
      </c>
      <c r="C252" s="307">
        <v>0</v>
      </c>
      <c r="D252" s="308">
        <v>0</v>
      </c>
      <c r="E252" s="308">
        <v>0</v>
      </c>
      <c r="F252" s="308">
        <v>0</v>
      </c>
      <c r="G252" s="308">
        <v>0</v>
      </c>
      <c r="H252" s="308">
        <v>0</v>
      </c>
      <c r="I252" s="308">
        <v>0</v>
      </c>
      <c r="J252" s="309">
        <v>0</v>
      </c>
      <c r="K252" s="309">
        <v>0</v>
      </c>
      <c r="L252" s="308">
        <v>0</v>
      </c>
      <c r="M252" s="308">
        <v>0</v>
      </c>
      <c r="N252" s="308">
        <v>0</v>
      </c>
      <c r="O252" s="309">
        <v>0</v>
      </c>
      <c r="P252" s="309">
        <v>0</v>
      </c>
      <c r="Q252" s="308">
        <v>0</v>
      </c>
      <c r="R252" s="309">
        <v>0</v>
      </c>
      <c r="S252" s="309">
        <v>0</v>
      </c>
      <c r="T252" s="309">
        <v>0</v>
      </c>
      <c r="U252" s="309">
        <v>0</v>
      </c>
      <c r="V252" s="315"/>
    </row>
    <row r="253" spans="1:22">
      <c r="A253" s="310"/>
      <c r="B253" s="311" t="s">
        <v>570</v>
      </c>
      <c r="C253" s="312">
        <v>0</v>
      </c>
      <c r="D253" s="313">
        <v>0</v>
      </c>
      <c r="E253" s="313">
        <v>0</v>
      </c>
      <c r="F253" s="313">
        <v>0</v>
      </c>
      <c r="G253" s="313">
        <v>0</v>
      </c>
      <c r="H253" s="313">
        <v>0</v>
      </c>
      <c r="I253" s="313">
        <v>0</v>
      </c>
      <c r="J253" s="314">
        <v>0</v>
      </c>
      <c r="K253" s="314">
        <v>0</v>
      </c>
      <c r="L253" s="313">
        <v>0</v>
      </c>
      <c r="M253" s="313">
        <v>0</v>
      </c>
      <c r="N253" s="313">
        <v>0</v>
      </c>
      <c r="O253" s="314">
        <v>0</v>
      </c>
      <c r="P253" s="314">
        <v>0</v>
      </c>
      <c r="Q253" s="313">
        <v>0</v>
      </c>
      <c r="R253" s="314">
        <v>0</v>
      </c>
      <c r="S253" s="314">
        <v>0</v>
      </c>
      <c r="T253" s="314">
        <v>0</v>
      </c>
      <c r="U253" s="314">
        <v>0</v>
      </c>
      <c r="V253" s="315"/>
    </row>
    <row r="254" spans="1:22">
      <c r="A254" s="310"/>
      <c r="B254" s="316" t="s">
        <v>571</v>
      </c>
      <c r="C254" s="317">
        <v>0</v>
      </c>
      <c r="D254" s="318">
        <v>0</v>
      </c>
      <c r="E254" s="318">
        <v>0</v>
      </c>
      <c r="F254" s="318">
        <v>0</v>
      </c>
      <c r="G254" s="318">
        <v>0</v>
      </c>
      <c r="H254" s="318">
        <v>0</v>
      </c>
      <c r="I254" s="318">
        <v>0</v>
      </c>
      <c r="J254" s="320">
        <v>0</v>
      </c>
      <c r="K254" s="320">
        <v>0</v>
      </c>
      <c r="L254" s="318">
        <v>0</v>
      </c>
      <c r="M254" s="318">
        <v>0</v>
      </c>
      <c r="N254" s="318">
        <v>0</v>
      </c>
      <c r="O254" s="320">
        <v>0</v>
      </c>
      <c r="P254" s="320">
        <v>0</v>
      </c>
      <c r="Q254" s="318">
        <v>0</v>
      </c>
      <c r="R254" s="320">
        <v>0</v>
      </c>
      <c r="S254" s="320">
        <v>0</v>
      </c>
      <c r="T254" s="320">
        <v>0</v>
      </c>
      <c r="U254" s="320">
        <v>0</v>
      </c>
      <c r="V254" s="315"/>
    </row>
    <row r="255" spans="1:22">
      <c r="A255" s="310"/>
      <c r="B255" s="55" t="s">
        <v>572</v>
      </c>
      <c r="C255" s="307">
        <v>0</v>
      </c>
      <c r="D255" s="308">
        <v>0</v>
      </c>
      <c r="E255" s="308">
        <v>0</v>
      </c>
      <c r="F255" s="308">
        <v>0</v>
      </c>
      <c r="G255" s="308">
        <v>0</v>
      </c>
      <c r="H255" s="308">
        <v>0</v>
      </c>
      <c r="I255" s="308">
        <v>0</v>
      </c>
      <c r="J255" s="309">
        <v>0</v>
      </c>
      <c r="K255" s="309">
        <v>0</v>
      </c>
      <c r="L255" s="308">
        <v>0</v>
      </c>
      <c r="M255" s="308">
        <v>0</v>
      </c>
      <c r="N255" s="308">
        <v>0</v>
      </c>
      <c r="O255" s="309">
        <v>0</v>
      </c>
      <c r="P255" s="309">
        <v>0</v>
      </c>
      <c r="Q255" s="308">
        <v>0</v>
      </c>
      <c r="R255" s="309">
        <v>0</v>
      </c>
      <c r="S255" s="309">
        <v>0</v>
      </c>
      <c r="T255" s="309">
        <v>0</v>
      </c>
      <c r="U255" s="309">
        <v>0</v>
      </c>
      <c r="V255" s="315"/>
    </row>
    <row r="256" spans="1:22">
      <c r="A256" s="310"/>
      <c r="B256" s="311" t="s">
        <v>573</v>
      </c>
      <c r="C256" s="312">
        <v>0</v>
      </c>
      <c r="D256" s="313">
        <v>0</v>
      </c>
      <c r="E256" s="313">
        <v>0</v>
      </c>
      <c r="F256" s="313">
        <v>0</v>
      </c>
      <c r="G256" s="313">
        <v>0</v>
      </c>
      <c r="H256" s="313">
        <v>0</v>
      </c>
      <c r="I256" s="313">
        <v>0</v>
      </c>
      <c r="J256" s="314">
        <v>0</v>
      </c>
      <c r="K256" s="314">
        <v>0</v>
      </c>
      <c r="L256" s="313">
        <v>0</v>
      </c>
      <c r="M256" s="313">
        <v>0</v>
      </c>
      <c r="N256" s="313">
        <v>0</v>
      </c>
      <c r="O256" s="314">
        <v>0</v>
      </c>
      <c r="P256" s="314">
        <v>0</v>
      </c>
      <c r="Q256" s="313">
        <v>0</v>
      </c>
      <c r="R256" s="314">
        <v>0</v>
      </c>
      <c r="S256" s="314">
        <v>0</v>
      </c>
      <c r="T256" s="314">
        <v>0</v>
      </c>
      <c r="U256" s="314">
        <v>0</v>
      </c>
      <c r="V256" s="315"/>
    </row>
    <row r="257" spans="1:22" ht="15" thickBot="1">
      <c r="A257" s="326"/>
      <c r="B257" s="327" t="s">
        <v>574</v>
      </c>
      <c r="C257" s="328">
        <v>0</v>
      </c>
      <c r="D257" s="329">
        <v>0</v>
      </c>
      <c r="E257" s="329">
        <v>0</v>
      </c>
      <c r="F257" s="329">
        <v>0</v>
      </c>
      <c r="G257" s="329">
        <v>0</v>
      </c>
      <c r="H257" s="329">
        <v>0</v>
      </c>
      <c r="I257" s="329">
        <v>0</v>
      </c>
      <c r="J257" s="330">
        <v>0</v>
      </c>
      <c r="K257" s="330">
        <v>0</v>
      </c>
      <c r="L257" s="329">
        <v>0</v>
      </c>
      <c r="M257" s="329">
        <v>0</v>
      </c>
      <c r="N257" s="329">
        <v>0</v>
      </c>
      <c r="O257" s="330">
        <v>0</v>
      </c>
      <c r="P257" s="330">
        <v>0</v>
      </c>
      <c r="Q257" s="329">
        <v>0</v>
      </c>
      <c r="R257" s="330">
        <v>0</v>
      </c>
      <c r="S257" s="330">
        <v>0</v>
      </c>
      <c r="T257" s="330">
        <v>0</v>
      </c>
      <c r="U257" s="330">
        <v>0</v>
      </c>
      <c r="V257" s="315"/>
    </row>
    <row r="258" spans="1:22">
      <c r="A258" s="306" t="s">
        <v>243</v>
      </c>
      <c r="B258" s="55" t="s">
        <v>539</v>
      </c>
      <c r="C258" s="307">
        <v>0.92618034610488653</v>
      </c>
      <c r="D258" s="308">
        <v>0.85197058136585946</v>
      </c>
      <c r="E258" s="308">
        <v>0.84151036702466686</v>
      </c>
      <c r="F258" s="308">
        <v>0.80560889049240991</v>
      </c>
      <c r="G258" s="308">
        <v>0.79782962200909302</v>
      </c>
      <c r="H258" s="308">
        <v>0.99504929367077799</v>
      </c>
      <c r="I258" s="308">
        <v>1.3625382798537956E-2</v>
      </c>
      <c r="J258" s="309">
        <v>0.6606418203388722</v>
      </c>
      <c r="K258" s="309">
        <v>0</v>
      </c>
      <c r="L258" s="308">
        <v>0.63504526077580947</v>
      </c>
      <c r="M258" s="308">
        <v>0.64598467750265776</v>
      </c>
      <c r="N258" s="308">
        <v>0.61652095266807361</v>
      </c>
      <c r="O258" s="309">
        <v>0.63604585979986494</v>
      </c>
      <c r="P258" s="309">
        <v>0</v>
      </c>
      <c r="Q258" s="308">
        <v>0</v>
      </c>
      <c r="R258" s="309">
        <v>0</v>
      </c>
      <c r="S258" s="309">
        <v>0</v>
      </c>
      <c r="T258" s="309">
        <v>0</v>
      </c>
      <c r="U258" s="309">
        <v>0.65031966558614707</v>
      </c>
      <c r="V258" s="315"/>
    </row>
    <row r="259" spans="1:22">
      <c r="A259" s="310"/>
      <c r="B259" s="311" t="s">
        <v>540</v>
      </c>
      <c r="C259" s="312">
        <v>0.49269347236723793</v>
      </c>
      <c r="D259" s="313">
        <v>0.53748487599067929</v>
      </c>
      <c r="E259" s="313">
        <v>0.53339994315196515</v>
      </c>
      <c r="F259" s="313">
        <v>0.50369008141004346</v>
      </c>
      <c r="G259" s="313">
        <v>0.7481888894822093</v>
      </c>
      <c r="H259" s="313">
        <v>0.77434472059726578</v>
      </c>
      <c r="I259" s="313">
        <v>1.2505414935570683E-2</v>
      </c>
      <c r="J259" s="314">
        <v>0.39285853364097473</v>
      </c>
      <c r="K259" s="314">
        <v>0</v>
      </c>
      <c r="L259" s="313">
        <v>0.26209077259220964</v>
      </c>
      <c r="M259" s="313">
        <v>0.36684244767173518</v>
      </c>
      <c r="N259" s="313">
        <v>0.42648512394498916</v>
      </c>
      <c r="O259" s="314">
        <v>0.29694643881183658</v>
      </c>
      <c r="P259" s="314">
        <v>0</v>
      </c>
      <c r="Q259" s="313">
        <v>0</v>
      </c>
      <c r="R259" s="314">
        <v>0</v>
      </c>
      <c r="S259" s="314">
        <v>0</v>
      </c>
      <c r="T259" s="314">
        <v>0</v>
      </c>
      <c r="U259" s="314">
        <v>0.35302231370435549</v>
      </c>
      <c r="V259" s="315"/>
    </row>
    <row r="260" spans="1:22" s="333" customFormat="1">
      <c r="A260" s="310"/>
      <c r="B260" s="316" t="s">
        <v>541</v>
      </c>
      <c r="C260" s="317">
        <v>-43.348687373764861</v>
      </c>
      <c r="D260" s="318">
        <v>-31.448570537518016</v>
      </c>
      <c r="E260" s="318">
        <v>-30.81104238727017</v>
      </c>
      <c r="F260" s="318">
        <v>-30.191880908236644</v>
      </c>
      <c r="G260" s="318">
        <v>-4.9640732526883724</v>
      </c>
      <c r="H260" s="318">
        <v>-22.070457307351219</v>
      </c>
      <c r="I260" s="318">
        <v>-0.11199678629672735</v>
      </c>
      <c r="J260" s="320">
        <v>-26.778328669789747</v>
      </c>
      <c r="K260" s="320">
        <v>0</v>
      </c>
      <c r="L260" s="318">
        <v>-37.295448818359986</v>
      </c>
      <c r="M260" s="318">
        <v>-27.914222983092259</v>
      </c>
      <c r="N260" s="318">
        <v>-19.003582872308446</v>
      </c>
      <c r="O260" s="320">
        <v>-33.909942098802837</v>
      </c>
      <c r="P260" s="320">
        <v>0</v>
      </c>
      <c r="Q260" s="318">
        <v>0</v>
      </c>
      <c r="R260" s="320">
        <v>0</v>
      </c>
      <c r="S260" s="320">
        <v>0</v>
      </c>
      <c r="T260" s="320">
        <v>0</v>
      </c>
      <c r="U260" s="320">
        <v>-29.729735188179156</v>
      </c>
      <c r="V260" s="315"/>
    </row>
    <row r="261" spans="1:22">
      <c r="A261" s="310"/>
      <c r="B261" s="55" t="s">
        <v>542</v>
      </c>
      <c r="C261" s="307">
        <v>1.839929356988039E-2</v>
      </c>
      <c r="D261" s="308">
        <v>1.5220544527410312E-2</v>
      </c>
      <c r="E261" s="308">
        <v>2.1944461383344764E-2</v>
      </c>
      <c r="F261" s="308">
        <v>1.1455153702853653E-2</v>
      </c>
      <c r="G261" s="308">
        <v>0</v>
      </c>
      <c r="H261" s="308">
        <v>0</v>
      </c>
      <c r="I261" s="308">
        <v>5.3015539450326742E-2</v>
      </c>
      <c r="J261" s="309">
        <v>2.5193681494564791E-2</v>
      </c>
      <c r="K261" s="309">
        <v>0</v>
      </c>
      <c r="L261" s="308">
        <v>0.18556019731633314</v>
      </c>
      <c r="M261" s="308">
        <v>4.6219789441353194E-2</v>
      </c>
      <c r="N261" s="308">
        <v>0.11310465528879118</v>
      </c>
      <c r="O261" s="309">
        <v>0.14979146834390381</v>
      </c>
      <c r="P261" s="309">
        <v>0</v>
      </c>
      <c r="Q261" s="308">
        <v>0</v>
      </c>
      <c r="R261" s="309">
        <v>0</v>
      </c>
      <c r="S261" s="309">
        <v>0</v>
      </c>
      <c r="T261" s="309">
        <v>0</v>
      </c>
      <c r="U261" s="309">
        <v>7.748347256274675E-2</v>
      </c>
      <c r="V261" s="315"/>
    </row>
    <row r="262" spans="1:22">
      <c r="A262" s="310"/>
      <c r="B262" s="311" t="s">
        <v>543</v>
      </c>
      <c r="C262" s="312">
        <v>9.2192252725226097E-3</v>
      </c>
      <c r="D262" s="313">
        <v>7.4690694490478294E-3</v>
      </c>
      <c r="E262" s="313">
        <v>1.2766690496903505E-2</v>
      </c>
      <c r="F262" s="313">
        <v>6.913451492641178E-3</v>
      </c>
      <c r="G262" s="313">
        <v>3.7379185133764085E-4</v>
      </c>
      <c r="H262" s="313">
        <v>0</v>
      </c>
      <c r="I262" s="313">
        <v>4.1366740960704966E-2</v>
      </c>
      <c r="J262" s="314">
        <v>1.7141758423629975E-2</v>
      </c>
      <c r="K262" s="314">
        <v>0</v>
      </c>
      <c r="L262" s="313">
        <v>9.2850259167755245E-2</v>
      </c>
      <c r="M262" s="313">
        <v>5.4853950668148278E-2</v>
      </c>
      <c r="N262" s="313">
        <v>5.4529923372343858E-2</v>
      </c>
      <c r="O262" s="314">
        <v>8.1743093279360038E-2</v>
      </c>
      <c r="P262" s="314">
        <v>0</v>
      </c>
      <c r="Q262" s="313">
        <v>0</v>
      </c>
      <c r="R262" s="314">
        <v>0</v>
      </c>
      <c r="S262" s="314">
        <v>0</v>
      </c>
      <c r="T262" s="314">
        <v>0</v>
      </c>
      <c r="U262" s="314">
        <v>4.3973337778627289E-2</v>
      </c>
      <c r="V262" s="315"/>
    </row>
    <row r="263" spans="1:22" s="333" customFormat="1">
      <c r="A263" s="310"/>
      <c r="B263" s="316" t="s">
        <v>544</v>
      </c>
      <c r="C263" s="317">
        <v>-0.91800682973577807</v>
      </c>
      <c r="D263" s="318">
        <v>-0.77514750783624831</v>
      </c>
      <c r="E263" s="318">
        <v>-0.91777708864412588</v>
      </c>
      <c r="F263" s="318">
        <v>-0.45417022102124749</v>
      </c>
      <c r="G263" s="318">
        <v>0</v>
      </c>
      <c r="H263" s="318">
        <v>0</v>
      </c>
      <c r="I263" s="318">
        <v>-1.1648798489621774</v>
      </c>
      <c r="J263" s="320">
        <v>-0.80519230709348166</v>
      </c>
      <c r="K263" s="320">
        <v>0</v>
      </c>
      <c r="L263" s="318">
        <v>-9.2709938148577891</v>
      </c>
      <c r="M263" s="318">
        <v>0.8634161226795084</v>
      </c>
      <c r="N263" s="318">
        <v>-5.8574731916447327</v>
      </c>
      <c r="O263" s="320">
        <v>-6.8048375064543771</v>
      </c>
      <c r="P263" s="320">
        <v>0</v>
      </c>
      <c r="Q263" s="318">
        <v>0</v>
      </c>
      <c r="R263" s="320">
        <v>0</v>
      </c>
      <c r="S263" s="320">
        <v>0</v>
      </c>
      <c r="T263" s="320">
        <v>0</v>
      </c>
      <c r="U263" s="320">
        <v>-3.3510134784119461</v>
      </c>
      <c r="V263" s="315"/>
    </row>
    <row r="264" spans="1:22">
      <c r="A264" s="310"/>
      <c r="B264" s="55" t="s">
        <v>545</v>
      </c>
      <c r="C264" s="307">
        <v>5.4484569777176341E-2</v>
      </c>
      <c r="D264" s="308">
        <v>0.13280887410673026</v>
      </c>
      <c r="E264" s="308">
        <v>0.13645495454480905</v>
      </c>
      <c r="F264" s="308">
        <v>0.16864179581659608</v>
      </c>
      <c r="G264" s="308">
        <v>0.20217037799090698</v>
      </c>
      <c r="H264" s="308">
        <v>4.9507063292219709E-3</v>
      </c>
      <c r="I264" s="308">
        <v>0.93335907775113525</v>
      </c>
      <c r="J264" s="309">
        <v>0.31160853185185422</v>
      </c>
      <c r="K264" s="309">
        <v>0</v>
      </c>
      <c r="L264" s="308">
        <v>0.17923576111104803</v>
      </c>
      <c r="M264" s="308">
        <v>0.30628906153588792</v>
      </c>
      <c r="N264" s="308">
        <v>0.26237590743314809</v>
      </c>
      <c r="O264" s="309">
        <v>0.21312499581493896</v>
      </c>
      <c r="P264" s="309">
        <v>0</v>
      </c>
      <c r="Q264" s="308">
        <v>0</v>
      </c>
      <c r="R264" s="309">
        <v>0</v>
      </c>
      <c r="S264" s="309">
        <v>0</v>
      </c>
      <c r="T264" s="309">
        <v>0</v>
      </c>
      <c r="U264" s="309">
        <v>0.27027807443969365</v>
      </c>
      <c r="V264" s="315"/>
    </row>
    <row r="265" spans="1:22">
      <c r="A265" s="310"/>
      <c r="B265" s="311" t="s">
        <v>546</v>
      </c>
      <c r="C265" s="312">
        <v>0.49766603325308079</v>
      </c>
      <c r="D265" s="313">
        <v>0.45504605456027292</v>
      </c>
      <c r="E265" s="313">
        <v>0.45383336635113136</v>
      </c>
      <c r="F265" s="313">
        <v>0.43652911517841736</v>
      </c>
      <c r="G265" s="313">
        <v>0.25143731866645308</v>
      </c>
      <c r="H265" s="313">
        <v>0.22565527940273425</v>
      </c>
      <c r="I265" s="313">
        <v>0.9461278441037243</v>
      </c>
      <c r="J265" s="314">
        <v>0.58173571131189117</v>
      </c>
      <c r="K265" s="314">
        <v>0</v>
      </c>
      <c r="L265" s="313">
        <v>0.63553390947665955</v>
      </c>
      <c r="M265" s="313">
        <v>0.53133547989866059</v>
      </c>
      <c r="N265" s="313">
        <v>0.51428187960748073</v>
      </c>
      <c r="O265" s="314">
        <v>0.60390928142213141</v>
      </c>
      <c r="P265" s="314">
        <v>0</v>
      </c>
      <c r="Q265" s="313">
        <v>0</v>
      </c>
      <c r="R265" s="314">
        <v>0</v>
      </c>
      <c r="S265" s="314">
        <v>0</v>
      </c>
      <c r="T265" s="314">
        <v>0</v>
      </c>
      <c r="U265" s="314">
        <v>0.59094530283697622</v>
      </c>
      <c r="V265" s="315"/>
    </row>
    <row r="266" spans="1:22" s="333" customFormat="1">
      <c r="A266" s="310"/>
      <c r="B266" s="316" t="s">
        <v>547</v>
      </c>
      <c r="C266" s="317">
        <v>44.318146347590442</v>
      </c>
      <c r="D266" s="318">
        <v>32.223718045354268</v>
      </c>
      <c r="E266" s="318">
        <v>31.73784118063223</v>
      </c>
      <c r="F266" s="318">
        <v>26.788731936182131</v>
      </c>
      <c r="G266" s="318">
        <v>4.9266940675546103</v>
      </c>
      <c r="H266" s="318">
        <v>22.070457307351226</v>
      </c>
      <c r="I266" s="318">
        <v>1.2768766352589056</v>
      </c>
      <c r="J266" s="320">
        <v>27.012717946003693</v>
      </c>
      <c r="K266" s="320">
        <v>0</v>
      </c>
      <c r="L266" s="318">
        <v>45.629814836561152</v>
      </c>
      <c r="M266" s="318">
        <v>22.504641836277266</v>
      </c>
      <c r="N266" s="318">
        <v>25.190597217433265</v>
      </c>
      <c r="O266" s="320">
        <v>39.078428560719246</v>
      </c>
      <c r="P266" s="320">
        <v>0</v>
      </c>
      <c r="Q266" s="318">
        <v>0</v>
      </c>
      <c r="R266" s="320">
        <v>0</v>
      </c>
      <c r="S266" s="320">
        <v>0</v>
      </c>
      <c r="T266" s="320">
        <v>0</v>
      </c>
      <c r="U266" s="320">
        <v>32.066722839728257</v>
      </c>
      <c r="V266" s="315"/>
    </row>
    <row r="267" spans="1:22">
      <c r="A267" s="310"/>
      <c r="B267" s="55" t="s">
        <v>548</v>
      </c>
      <c r="C267" s="307">
        <v>9.357905480567438E-4</v>
      </c>
      <c r="D267" s="308">
        <v>0</v>
      </c>
      <c r="E267" s="308">
        <v>9.0217047179338961E-5</v>
      </c>
      <c r="F267" s="308">
        <v>1.4294159988140294E-2</v>
      </c>
      <c r="G267" s="308">
        <v>0</v>
      </c>
      <c r="H267" s="308">
        <v>0</v>
      </c>
      <c r="I267" s="308">
        <v>0</v>
      </c>
      <c r="J267" s="309">
        <v>2.5559663147087896E-3</v>
      </c>
      <c r="K267" s="309">
        <v>0</v>
      </c>
      <c r="L267" s="308">
        <v>1.5878079680944741E-4</v>
      </c>
      <c r="M267" s="308">
        <v>1.4571089824278508E-3</v>
      </c>
      <c r="N267" s="308">
        <v>7.9984846099871668E-3</v>
      </c>
      <c r="O267" s="309">
        <v>1.0269208577548862E-3</v>
      </c>
      <c r="P267" s="309">
        <v>0</v>
      </c>
      <c r="Q267" s="308">
        <v>0</v>
      </c>
      <c r="R267" s="309">
        <v>0</v>
      </c>
      <c r="S267" s="309">
        <v>0</v>
      </c>
      <c r="T267" s="309">
        <v>0</v>
      </c>
      <c r="U267" s="309">
        <v>1.9142737975330996E-3</v>
      </c>
      <c r="V267" s="315"/>
    </row>
    <row r="268" spans="1:22">
      <c r="A268" s="310"/>
      <c r="B268" s="311" t="s">
        <v>549</v>
      </c>
      <c r="C268" s="312">
        <v>4.2126910715863049E-4</v>
      </c>
      <c r="D268" s="313">
        <v>0</v>
      </c>
      <c r="E268" s="313">
        <v>0</v>
      </c>
      <c r="F268" s="313">
        <v>5.2867351918898006E-2</v>
      </c>
      <c r="G268" s="313">
        <v>0</v>
      </c>
      <c r="H268" s="313">
        <v>0</v>
      </c>
      <c r="I268" s="313">
        <v>0</v>
      </c>
      <c r="J268" s="314">
        <v>8.2639966235040999E-3</v>
      </c>
      <c r="K268" s="314">
        <v>0</v>
      </c>
      <c r="L268" s="313">
        <v>9.5250587633755861E-3</v>
      </c>
      <c r="M268" s="313">
        <v>4.6968121761455969E-2</v>
      </c>
      <c r="N268" s="313">
        <v>4.7030730751862568E-3</v>
      </c>
      <c r="O268" s="314">
        <v>1.7401186486671952E-2</v>
      </c>
      <c r="P268" s="314">
        <v>0</v>
      </c>
      <c r="Q268" s="313">
        <v>0</v>
      </c>
      <c r="R268" s="314">
        <v>0</v>
      </c>
      <c r="S268" s="314">
        <v>0</v>
      </c>
      <c r="T268" s="314">
        <v>0</v>
      </c>
      <c r="U268" s="314">
        <v>1.2059045680041038E-2</v>
      </c>
      <c r="V268" s="315"/>
    </row>
    <row r="269" spans="1:22" s="333" customFormat="1">
      <c r="A269" s="310"/>
      <c r="B269" s="316" t="s">
        <v>550</v>
      </c>
      <c r="C269" s="317">
        <v>-5.1452144089811337E-2</v>
      </c>
      <c r="D269" s="318">
        <v>0</v>
      </c>
      <c r="E269" s="318">
        <v>-9.0217047179338965E-3</v>
      </c>
      <c r="F269" s="318">
        <v>3.8573191930757713</v>
      </c>
      <c r="G269" s="318">
        <v>0</v>
      </c>
      <c r="H269" s="318">
        <v>0</v>
      </c>
      <c r="I269" s="318">
        <v>0</v>
      </c>
      <c r="J269" s="320">
        <v>0.57080303087953099</v>
      </c>
      <c r="K269" s="320">
        <v>0</v>
      </c>
      <c r="L269" s="318">
        <v>0.93662779665661389</v>
      </c>
      <c r="M269" s="318">
        <v>4.5511012779028119</v>
      </c>
      <c r="N269" s="318">
        <v>-0.329541153480091</v>
      </c>
      <c r="O269" s="320">
        <v>1.6374265628917066</v>
      </c>
      <c r="P269" s="320">
        <v>0</v>
      </c>
      <c r="Q269" s="318">
        <v>0</v>
      </c>
      <c r="R269" s="320">
        <v>0</v>
      </c>
      <c r="S269" s="320">
        <v>0</v>
      </c>
      <c r="T269" s="320">
        <v>0</v>
      </c>
      <c r="U269" s="320">
        <v>1.0144771882507939</v>
      </c>
      <c r="V269" s="315"/>
    </row>
    <row r="270" spans="1:22">
      <c r="A270" s="310"/>
      <c r="B270" s="55" t="s">
        <v>551</v>
      </c>
      <c r="C270" s="307">
        <v>0</v>
      </c>
      <c r="D270" s="308">
        <v>0</v>
      </c>
      <c r="E270" s="308">
        <v>0</v>
      </c>
      <c r="F270" s="308">
        <v>0</v>
      </c>
      <c r="G270" s="308">
        <v>0</v>
      </c>
      <c r="H270" s="308">
        <v>0</v>
      </c>
      <c r="I270" s="308">
        <v>0</v>
      </c>
      <c r="J270" s="309">
        <v>0</v>
      </c>
      <c r="K270" s="309">
        <v>0</v>
      </c>
      <c r="L270" s="308">
        <v>0</v>
      </c>
      <c r="M270" s="308">
        <v>0</v>
      </c>
      <c r="N270" s="308">
        <v>0</v>
      </c>
      <c r="O270" s="309">
        <v>0</v>
      </c>
      <c r="P270" s="309">
        <v>0</v>
      </c>
      <c r="Q270" s="308">
        <v>0</v>
      </c>
      <c r="R270" s="309">
        <v>0</v>
      </c>
      <c r="S270" s="309">
        <v>0</v>
      </c>
      <c r="T270" s="309">
        <v>0</v>
      </c>
      <c r="U270" s="309">
        <v>0</v>
      </c>
      <c r="V270" s="315"/>
    </row>
    <row r="271" spans="1:22">
      <c r="A271" s="310"/>
      <c r="B271" s="311" t="s">
        <v>552</v>
      </c>
      <c r="C271" s="312">
        <v>0</v>
      </c>
      <c r="D271" s="313">
        <v>0</v>
      </c>
      <c r="E271" s="313">
        <v>0</v>
      </c>
      <c r="F271" s="313">
        <v>0</v>
      </c>
      <c r="G271" s="313">
        <v>0</v>
      </c>
      <c r="H271" s="313">
        <v>0</v>
      </c>
      <c r="I271" s="313">
        <v>0</v>
      </c>
      <c r="J271" s="314">
        <v>0</v>
      </c>
      <c r="K271" s="314">
        <v>0</v>
      </c>
      <c r="L271" s="313">
        <v>0</v>
      </c>
      <c r="M271" s="313">
        <v>0</v>
      </c>
      <c r="N271" s="313">
        <v>0</v>
      </c>
      <c r="O271" s="314">
        <v>0</v>
      </c>
      <c r="P271" s="314">
        <v>0</v>
      </c>
      <c r="Q271" s="313">
        <v>0</v>
      </c>
      <c r="R271" s="314">
        <v>0</v>
      </c>
      <c r="S271" s="314">
        <v>0</v>
      </c>
      <c r="T271" s="314">
        <v>0</v>
      </c>
      <c r="U271" s="314">
        <v>0</v>
      </c>
      <c r="V271" s="315"/>
    </row>
    <row r="272" spans="1:22" s="333" customFormat="1">
      <c r="A272" s="310"/>
      <c r="B272" s="316" t="s">
        <v>553</v>
      </c>
      <c r="C272" s="317">
        <v>0</v>
      </c>
      <c r="D272" s="318">
        <v>0</v>
      </c>
      <c r="E272" s="318">
        <v>0</v>
      </c>
      <c r="F272" s="318">
        <v>0</v>
      </c>
      <c r="G272" s="318">
        <v>0</v>
      </c>
      <c r="H272" s="318">
        <v>0</v>
      </c>
      <c r="I272" s="318">
        <v>0</v>
      </c>
      <c r="J272" s="320">
        <v>0</v>
      </c>
      <c r="K272" s="320">
        <v>0</v>
      </c>
      <c r="L272" s="318">
        <v>0</v>
      </c>
      <c r="M272" s="318">
        <v>0</v>
      </c>
      <c r="N272" s="318">
        <v>0</v>
      </c>
      <c r="O272" s="320">
        <v>0</v>
      </c>
      <c r="P272" s="320">
        <v>0</v>
      </c>
      <c r="Q272" s="318">
        <v>0</v>
      </c>
      <c r="R272" s="320">
        <v>0</v>
      </c>
      <c r="S272" s="320">
        <v>0</v>
      </c>
      <c r="T272" s="320">
        <v>0</v>
      </c>
      <c r="U272" s="320">
        <v>0</v>
      </c>
      <c r="V272" s="315"/>
    </row>
    <row r="273" spans="1:22">
      <c r="A273" s="310"/>
      <c r="B273" s="55" t="s">
        <v>554</v>
      </c>
      <c r="C273" s="307">
        <v>0</v>
      </c>
      <c r="D273" s="308">
        <v>0</v>
      </c>
      <c r="E273" s="308">
        <v>0</v>
      </c>
      <c r="F273" s="308">
        <v>0</v>
      </c>
      <c r="G273" s="308">
        <v>0</v>
      </c>
      <c r="H273" s="308">
        <v>0</v>
      </c>
      <c r="I273" s="308">
        <v>0</v>
      </c>
      <c r="J273" s="309">
        <v>0</v>
      </c>
      <c r="K273" s="309">
        <v>0</v>
      </c>
      <c r="L273" s="308">
        <v>0</v>
      </c>
      <c r="M273" s="308">
        <v>4.9362537673214517E-5</v>
      </c>
      <c r="N273" s="308">
        <v>0</v>
      </c>
      <c r="O273" s="309">
        <v>1.0755183537386318E-5</v>
      </c>
      <c r="P273" s="309">
        <v>0</v>
      </c>
      <c r="Q273" s="308">
        <v>0</v>
      </c>
      <c r="R273" s="309">
        <v>0</v>
      </c>
      <c r="S273" s="309">
        <v>0</v>
      </c>
      <c r="T273" s="309">
        <v>0</v>
      </c>
      <c r="U273" s="309">
        <v>4.5136138794335592E-6</v>
      </c>
      <c r="V273" s="315"/>
    </row>
    <row r="274" spans="1:22">
      <c r="A274" s="310"/>
      <c r="B274" s="311" t="s">
        <v>555</v>
      </c>
      <c r="C274" s="312">
        <v>0</v>
      </c>
      <c r="D274" s="313">
        <v>0</v>
      </c>
      <c r="E274" s="313">
        <v>0</v>
      </c>
      <c r="F274" s="313">
        <v>0</v>
      </c>
      <c r="G274" s="313">
        <v>0</v>
      </c>
      <c r="H274" s="313">
        <v>0</v>
      </c>
      <c r="I274" s="313">
        <v>0</v>
      </c>
      <c r="J274" s="314">
        <v>0</v>
      </c>
      <c r="K274" s="314">
        <v>0</v>
      </c>
      <c r="L274" s="313">
        <v>0</v>
      </c>
      <c r="M274" s="313">
        <v>0</v>
      </c>
      <c r="N274" s="313">
        <v>0</v>
      </c>
      <c r="O274" s="314">
        <v>0</v>
      </c>
      <c r="P274" s="314">
        <v>0</v>
      </c>
      <c r="Q274" s="313">
        <v>0</v>
      </c>
      <c r="R274" s="314">
        <v>0</v>
      </c>
      <c r="S274" s="314">
        <v>0</v>
      </c>
      <c r="T274" s="314">
        <v>0</v>
      </c>
      <c r="U274" s="314">
        <v>0</v>
      </c>
      <c r="V274" s="315"/>
    </row>
    <row r="275" spans="1:22" s="333" customFormat="1" ht="15" thickBot="1">
      <c r="A275" s="310"/>
      <c r="B275" s="322" t="s">
        <v>556</v>
      </c>
      <c r="C275" s="323">
        <v>0</v>
      </c>
      <c r="D275" s="324">
        <v>0</v>
      </c>
      <c r="E275" s="324">
        <v>0</v>
      </c>
      <c r="F275" s="324">
        <v>0</v>
      </c>
      <c r="G275" s="324">
        <v>0</v>
      </c>
      <c r="H275" s="324">
        <v>0</v>
      </c>
      <c r="I275" s="324">
        <v>0</v>
      </c>
      <c r="J275" s="325">
        <v>0</v>
      </c>
      <c r="K275" s="325">
        <v>0</v>
      </c>
      <c r="L275" s="324">
        <v>0</v>
      </c>
      <c r="M275" s="324">
        <v>-4.9362537673214519E-3</v>
      </c>
      <c r="N275" s="324">
        <v>0</v>
      </c>
      <c r="O275" s="325">
        <v>-1.0755183537386318E-3</v>
      </c>
      <c r="P275" s="325">
        <v>0</v>
      </c>
      <c r="Q275" s="324">
        <v>0</v>
      </c>
      <c r="R275" s="325">
        <v>0</v>
      </c>
      <c r="S275" s="325">
        <v>0</v>
      </c>
      <c r="T275" s="325">
        <v>0</v>
      </c>
      <c r="U275" s="325">
        <v>-4.5136138794335594E-4</v>
      </c>
      <c r="V275" s="315"/>
    </row>
    <row r="276" spans="1:22" ht="15" thickTop="1">
      <c r="A276" s="310"/>
      <c r="B276" s="311" t="s">
        <v>557</v>
      </c>
      <c r="C276" s="312">
        <v>0.7536717741883191</v>
      </c>
      <c r="D276" s="313">
        <v>0.72955646789608297</v>
      </c>
      <c r="E276" s="313">
        <v>0.65819849259473995</v>
      </c>
      <c r="F276" s="313">
        <v>0.56095091840323952</v>
      </c>
      <c r="G276" s="313">
        <v>0.8457852319756044</v>
      </c>
      <c r="H276" s="313">
        <v>1</v>
      </c>
      <c r="I276" s="313">
        <v>0.10622167824438887</v>
      </c>
      <c r="J276" s="314">
        <v>0.4601102892747056</v>
      </c>
      <c r="K276" s="314">
        <v>0</v>
      </c>
      <c r="L276" s="313">
        <v>0</v>
      </c>
      <c r="M276" s="313">
        <v>0</v>
      </c>
      <c r="N276" s="313">
        <v>0</v>
      </c>
      <c r="O276" s="314">
        <v>0</v>
      </c>
      <c r="P276" s="314">
        <v>0</v>
      </c>
      <c r="Q276" s="313">
        <v>0</v>
      </c>
      <c r="R276" s="314">
        <v>0</v>
      </c>
      <c r="S276" s="314">
        <v>0</v>
      </c>
      <c r="T276" s="314">
        <v>0</v>
      </c>
      <c r="U276" s="314">
        <v>0.4601102892747056</v>
      </c>
      <c r="V276" s="315"/>
    </row>
    <row r="277" spans="1:22">
      <c r="A277" s="310"/>
      <c r="B277" s="311" t="s">
        <v>558</v>
      </c>
      <c r="C277" s="312">
        <v>0.51175270652231886</v>
      </c>
      <c r="D277" s="313">
        <v>0.49937276850332918</v>
      </c>
      <c r="E277" s="313">
        <v>0.54649336486430422</v>
      </c>
      <c r="F277" s="313">
        <v>0.35696821515892418</v>
      </c>
      <c r="G277" s="313">
        <v>0.79396186440677963</v>
      </c>
      <c r="H277" s="313">
        <v>0.32845894263217096</v>
      </c>
      <c r="I277" s="313">
        <v>0.14380243810293297</v>
      </c>
      <c r="J277" s="314">
        <v>0.34536650945195208</v>
      </c>
      <c r="K277" s="314">
        <v>0</v>
      </c>
      <c r="L277" s="313">
        <v>0</v>
      </c>
      <c r="M277" s="313">
        <v>0</v>
      </c>
      <c r="N277" s="313">
        <v>0</v>
      </c>
      <c r="O277" s="314">
        <v>0</v>
      </c>
      <c r="P277" s="314">
        <v>0</v>
      </c>
      <c r="Q277" s="313">
        <v>0</v>
      </c>
      <c r="R277" s="314">
        <v>0</v>
      </c>
      <c r="S277" s="314">
        <v>0</v>
      </c>
      <c r="T277" s="314">
        <v>0</v>
      </c>
      <c r="U277" s="314">
        <v>0.34536650945195208</v>
      </c>
      <c r="V277" s="315"/>
    </row>
    <row r="278" spans="1:22" s="333" customFormat="1">
      <c r="A278" s="310"/>
      <c r="B278" s="316" t="s">
        <v>559</v>
      </c>
      <c r="C278" s="317">
        <v>-24.191906766600024</v>
      </c>
      <c r="D278" s="318">
        <v>-23.018369939275381</v>
      </c>
      <c r="E278" s="318">
        <v>-11.170512773043573</v>
      </c>
      <c r="F278" s="318">
        <v>-20.398270324431532</v>
      </c>
      <c r="G278" s="318">
        <v>-5.1823367568824779</v>
      </c>
      <c r="H278" s="318">
        <v>-67.15410573678291</v>
      </c>
      <c r="I278" s="318">
        <v>3.7580759858544104</v>
      </c>
      <c r="J278" s="320">
        <v>-11.474377982275353</v>
      </c>
      <c r="K278" s="320">
        <v>0</v>
      </c>
      <c r="L278" s="318">
        <v>0</v>
      </c>
      <c r="M278" s="318">
        <v>0</v>
      </c>
      <c r="N278" s="318">
        <v>0</v>
      </c>
      <c r="O278" s="320">
        <v>0</v>
      </c>
      <c r="P278" s="320">
        <v>0</v>
      </c>
      <c r="Q278" s="318">
        <v>0</v>
      </c>
      <c r="R278" s="320">
        <v>0</v>
      </c>
      <c r="S278" s="320">
        <v>0</v>
      </c>
      <c r="T278" s="320">
        <v>0</v>
      </c>
      <c r="U278" s="320">
        <v>-11.474377982275353</v>
      </c>
      <c r="V278" s="315"/>
    </row>
    <row r="279" spans="1:22">
      <c r="A279" s="310"/>
      <c r="B279" s="55" t="s">
        <v>560</v>
      </c>
      <c r="C279" s="307">
        <v>0.11651763424265807</v>
      </c>
      <c r="D279" s="308">
        <v>4.470655539103513E-2</v>
      </c>
      <c r="E279" s="308">
        <v>9.582037632425025E-2</v>
      </c>
      <c r="F279" s="308">
        <v>3.4677121850361613E-2</v>
      </c>
      <c r="G279" s="308">
        <v>1.8296667392724897E-2</v>
      </c>
      <c r="H279" s="308">
        <v>0</v>
      </c>
      <c r="I279" s="308">
        <v>4.1847632536605936E-2</v>
      </c>
      <c r="J279" s="309">
        <v>6.7732895118160025E-2</v>
      </c>
      <c r="K279" s="309">
        <v>0</v>
      </c>
      <c r="L279" s="308">
        <v>0</v>
      </c>
      <c r="M279" s="308">
        <v>0</v>
      </c>
      <c r="N279" s="308">
        <v>0</v>
      </c>
      <c r="O279" s="309">
        <v>0</v>
      </c>
      <c r="P279" s="309">
        <v>0</v>
      </c>
      <c r="Q279" s="308">
        <v>0</v>
      </c>
      <c r="R279" s="309">
        <v>0</v>
      </c>
      <c r="S279" s="309">
        <v>0</v>
      </c>
      <c r="T279" s="309">
        <v>0</v>
      </c>
      <c r="U279" s="309">
        <v>6.7732895118160025E-2</v>
      </c>
      <c r="V279" s="315"/>
    </row>
    <row r="280" spans="1:22">
      <c r="A280" s="310"/>
      <c r="B280" s="311" t="s">
        <v>561</v>
      </c>
      <c r="C280" s="312">
        <v>7.8469148312090023E-2</v>
      </c>
      <c r="D280" s="313">
        <v>1.6854836115667921E-2</v>
      </c>
      <c r="E280" s="313">
        <v>5.1220047059381352E-2</v>
      </c>
      <c r="F280" s="313">
        <v>4.6693503906217841E-2</v>
      </c>
      <c r="G280" s="313">
        <v>1.2711864406779662E-2</v>
      </c>
      <c r="H280" s="313">
        <v>0</v>
      </c>
      <c r="I280" s="313">
        <v>7.7426039597664392E-2</v>
      </c>
      <c r="J280" s="314">
        <v>6.471281829623321E-2</v>
      </c>
      <c r="K280" s="314">
        <v>0</v>
      </c>
      <c r="L280" s="313">
        <v>0</v>
      </c>
      <c r="M280" s="313">
        <v>0</v>
      </c>
      <c r="N280" s="313">
        <v>0</v>
      </c>
      <c r="O280" s="314">
        <v>0</v>
      </c>
      <c r="P280" s="314">
        <v>0</v>
      </c>
      <c r="Q280" s="313">
        <v>0</v>
      </c>
      <c r="R280" s="314">
        <v>0</v>
      </c>
      <c r="S280" s="314">
        <v>0</v>
      </c>
      <c r="T280" s="314">
        <v>0</v>
      </c>
      <c r="U280" s="314">
        <v>6.471281829623321E-2</v>
      </c>
      <c r="V280" s="315"/>
    </row>
    <row r="281" spans="1:22" s="333" customFormat="1">
      <c r="A281" s="310"/>
      <c r="B281" s="316" t="s">
        <v>562</v>
      </c>
      <c r="C281" s="317">
        <v>-3.8048485930568048</v>
      </c>
      <c r="D281" s="318">
        <v>-2.7851719275367208</v>
      </c>
      <c r="E281" s="318">
        <v>-4.4600329264868899</v>
      </c>
      <c r="F281" s="318">
        <v>1.2016382055856227</v>
      </c>
      <c r="G281" s="318">
        <v>-0.55848029859452353</v>
      </c>
      <c r="H281" s="318">
        <v>0</v>
      </c>
      <c r="I281" s="318">
        <v>3.5578407061058455</v>
      </c>
      <c r="J281" s="320">
        <v>-0.30200768219268148</v>
      </c>
      <c r="K281" s="320">
        <v>0</v>
      </c>
      <c r="L281" s="318">
        <v>0</v>
      </c>
      <c r="M281" s="318">
        <v>0</v>
      </c>
      <c r="N281" s="318">
        <v>0</v>
      </c>
      <c r="O281" s="320">
        <v>0</v>
      </c>
      <c r="P281" s="320">
        <v>0</v>
      </c>
      <c r="Q281" s="318">
        <v>0</v>
      </c>
      <c r="R281" s="320">
        <v>0</v>
      </c>
      <c r="S281" s="320">
        <v>0</v>
      </c>
      <c r="T281" s="320">
        <v>0</v>
      </c>
      <c r="U281" s="320">
        <v>-0.30200768219268148</v>
      </c>
      <c r="V281" s="315"/>
    </row>
    <row r="282" spans="1:22">
      <c r="A282" s="310"/>
      <c r="B282" s="55" t="s">
        <v>563</v>
      </c>
      <c r="C282" s="307">
        <v>0.1275734841165371</v>
      </c>
      <c r="D282" s="308">
        <v>0.22573697671288195</v>
      </c>
      <c r="E282" s="308">
        <v>0.24598113108100986</v>
      </c>
      <c r="F282" s="308">
        <v>0.35066617479259787</v>
      </c>
      <c r="G282" s="308">
        <v>0.13591810063167065</v>
      </c>
      <c r="H282" s="308">
        <v>0</v>
      </c>
      <c r="I282" s="308">
        <v>0.85084591736903936</v>
      </c>
      <c r="J282" s="309">
        <v>0.46599853123271068</v>
      </c>
      <c r="K282" s="309">
        <v>0</v>
      </c>
      <c r="L282" s="308">
        <v>0</v>
      </c>
      <c r="M282" s="308">
        <v>0</v>
      </c>
      <c r="N282" s="308">
        <v>0</v>
      </c>
      <c r="O282" s="309">
        <v>0</v>
      </c>
      <c r="P282" s="309">
        <v>0</v>
      </c>
      <c r="Q282" s="308">
        <v>0</v>
      </c>
      <c r="R282" s="309">
        <v>0</v>
      </c>
      <c r="S282" s="309">
        <v>0</v>
      </c>
      <c r="T282" s="309">
        <v>0</v>
      </c>
      <c r="U282" s="309">
        <v>0.46599853123271068</v>
      </c>
      <c r="V282" s="315"/>
    </row>
    <row r="283" spans="1:22">
      <c r="A283" s="310"/>
      <c r="B283" s="311" t="s">
        <v>564</v>
      </c>
      <c r="C283" s="312">
        <v>0.40876486587382005</v>
      </c>
      <c r="D283" s="313">
        <v>0.48377239538100292</v>
      </c>
      <c r="E283" s="313">
        <v>0.40228658807631446</v>
      </c>
      <c r="F283" s="313">
        <v>0.53856412536119136</v>
      </c>
      <c r="G283" s="313">
        <v>0.19332627118644069</v>
      </c>
      <c r="H283" s="313">
        <v>0.67154105736782899</v>
      </c>
      <c r="I283" s="313">
        <v>0.73554550589326662</v>
      </c>
      <c r="J283" s="314">
        <v>0.56573937529398299</v>
      </c>
      <c r="K283" s="314">
        <v>0</v>
      </c>
      <c r="L283" s="313">
        <v>0</v>
      </c>
      <c r="M283" s="313">
        <v>0</v>
      </c>
      <c r="N283" s="313">
        <v>0</v>
      </c>
      <c r="O283" s="314">
        <v>0</v>
      </c>
      <c r="P283" s="314">
        <v>0</v>
      </c>
      <c r="Q283" s="313">
        <v>0</v>
      </c>
      <c r="R283" s="314">
        <v>0</v>
      </c>
      <c r="S283" s="314">
        <v>0</v>
      </c>
      <c r="T283" s="314">
        <v>0</v>
      </c>
      <c r="U283" s="314">
        <v>0.56573937529398299</v>
      </c>
      <c r="V283" s="315"/>
    </row>
    <row r="284" spans="1:22" s="333" customFormat="1">
      <c r="A284" s="310"/>
      <c r="B284" s="316" t="s">
        <v>565</v>
      </c>
      <c r="C284" s="317">
        <v>28.119138175728299</v>
      </c>
      <c r="D284" s="318">
        <v>25.803541866812097</v>
      </c>
      <c r="E284" s="318">
        <v>15.63054569953046</v>
      </c>
      <c r="F284" s="318">
        <v>18.789795056859347</v>
      </c>
      <c r="G284" s="318">
        <v>5.7408170554770042</v>
      </c>
      <c r="H284" s="318">
        <v>0</v>
      </c>
      <c r="I284" s="318">
        <v>-11.530041147577275</v>
      </c>
      <c r="J284" s="320">
        <v>9.9740844061272309</v>
      </c>
      <c r="K284" s="320">
        <v>0</v>
      </c>
      <c r="L284" s="318">
        <v>0</v>
      </c>
      <c r="M284" s="318">
        <v>0</v>
      </c>
      <c r="N284" s="318">
        <v>0</v>
      </c>
      <c r="O284" s="320">
        <v>0</v>
      </c>
      <c r="P284" s="320">
        <v>0</v>
      </c>
      <c r="Q284" s="318">
        <v>0</v>
      </c>
      <c r="R284" s="320">
        <v>0</v>
      </c>
      <c r="S284" s="320">
        <v>0</v>
      </c>
      <c r="T284" s="320">
        <v>0</v>
      </c>
      <c r="U284" s="320">
        <v>9.9740844061272309</v>
      </c>
      <c r="V284" s="315"/>
    </row>
    <row r="285" spans="1:22">
      <c r="A285" s="310"/>
      <c r="B285" s="55" t="s">
        <v>566</v>
      </c>
      <c r="C285" s="307">
        <v>2.2371074524857831E-3</v>
      </c>
      <c r="D285" s="308">
        <v>0</v>
      </c>
      <c r="E285" s="308">
        <v>0</v>
      </c>
      <c r="F285" s="308">
        <v>5.3705784953801017E-2</v>
      </c>
      <c r="G285" s="308">
        <v>0</v>
      </c>
      <c r="H285" s="308">
        <v>0</v>
      </c>
      <c r="I285" s="308">
        <v>1.0847718499658195E-3</v>
      </c>
      <c r="J285" s="309">
        <v>6.1582843744236899E-3</v>
      </c>
      <c r="K285" s="309">
        <v>0</v>
      </c>
      <c r="L285" s="308">
        <v>0</v>
      </c>
      <c r="M285" s="308">
        <v>0</v>
      </c>
      <c r="N285" s="308">
        <v>0</v>
      </c>
      <c r="O285" s="309">
        <v>0</v>
      </c>
      <c r="P285" s="309">
        <v>0</v>
      </c>
      <c r="Q285" s="308">
        <v>0</v>
      </c>
      <c r="R285" s="309">
        <v>0</v>
      </c>
      <c r="S285" s="309">
        <v>0</v>
      </c>
      <c r="T285" s="309">
        <v>0</v>
      </c>
      <c r="U285" s="309">
        <v>6.1582843744236899E-3</v>
      </c>
      <c r="V285" s="315"/>
    </row>
    <row r="286" spans="1:22">
      <c r="A286" s="310"/>
      <c r="B286" s="311" t="s">
        <v>567</v>
      </c>
      <c r="C286" s="312">
        <v>1.0132792917711055E-3</v>
      </c>
      <c r="D286" s="313">
        <v>0</v>
      </c>
      <c r="E286" s="313">
        <v>0</v>
      </c>
      <c r="F286" s="313">
        <v>5.7774155573666573E-2</v>
      </c>
      <c r="G286" s="313">
        <v>0</v>
      </c>
      <c r="H286" s="313">
        <v>0</v>
      </c>
      <c r="I286" s="313">
        <v>4.3226016406136027E-2</v>
      </c>
      <c r="J286" s="314">
        <v>2.4181296957831708E-2</v>
      </c>
      <c r="K286" s="314">
        <v>0</v>
      </c>
      <c r="L286" s="313">
        <v>0</v>
      </c>
      <c r="M286" s="313">
        <v>0</v>
      </c>
      <c r="N286" s="313">
        <v>0</v>
      </c>
      <c r="O286" s="314">
        <v>0</v>
      </c>
      <c r="P286" s="314">
        <v>0</v>
      </c>
      <c r="Q286" s="313">
        <v>0</v>
      </c>
      <c r="R286" s="314">
        <v>0</v>
      </c>
      <c r="S286" s="314">
        <v>0</v>
      </c>
      <c r="T286" s="314">
        <v>0</v>
      </c>
      <c r="U286" s="314">
        <v>2.4181296957831708E-2</v>
      </c>
      <c r="V286" s="315"/>
    </row>
    <row r="287" spans="1:22" s="333" customFormat="1">
      <c r="A287" s="310"/>
      <c r="B287" s="316" t="s">
        <v>568</v>
      </c>
      <c r="C287" s="317">
        <v>-0.12238281607146777</v>
      </c>
      <c r="D287" s="318">
        <v>0</v>
      </c>
      <c r="E287" s="318">
        <v>0</v>
      </c>
      <c r="F287" s="318">
        <v>0.40683706198655567</v>
      </c>
      <c r="G287" s="318">
        <v>0</v>
      </c>
      <c r="H287" s="318">
        <v>0</v>
      </c>
      <c r="I287" s="318">
        <v>4.2141244556170205</v>
      </c>
      <c r="J287" s="320">
        <v>1.8023012583408018</v>
      </c>
      <c r="K287" s="320">
        <v>0</v>
      </c>
      <c r="L287" s="318">
        <v>0</v>
      </c>
      <c r="M287" s="318">
        <v>0</v>
      </c>
      <c r="N287" s="318">
        <v>0</v>
      </c>
      <c r="O287" s="320">
        <v>0</v>
      </c>
      <c r="P287" s="320">
        <v>0</v>
      </c>
      <c r="Q287" s="318">
        <v>0</v>
      </c>
      <c r="R287" s="320">
        <v>0</v>
      </c>
      <c r="S287" s="320">
        <v>0</v>
      </c>
      <c r="T287" s="320">
        <v>0</v>
      </c>
      <c r="U287" s="320">
        <v>1.8023012583408018</v>
      </c>
      <c r="V287" s="315"/>
    </row>
    <row r="288" spans="1:22">
      <c r="A288" s="310"/>
      <c r="B288" s="55" t="s">
        <v>569</v>
      </c>
      <c r="C288" s="307">
        <v>0</v>
      </c>
      <c r="D288" s="308">
        <v>0</v>
      </c>
      <c r="E288" s="308">
        <v>0</v>
      </c>
      <c r="F288" s="308">
        <v>0</v>
      </c>
      <c r="G288" s="308">
        <v>0</v>
      </c>
      <c r="H288" s="308">
        <v>0</v>
      </c>
      <c r="I288" s="308">
        <v>0</v>
      </c>
      <c r="J288" s="309">
        <v>0</v>
      </c>
      <c r="K288" s="309">
        <v>0</v>
      </c>
      <c r="L288" s="308">
        <v>0</v>
      </c>
      <c r="M288" s="308">
        <v>0</v>
      </c>
      <c r="N288" s="308">
        <v>0</v>
      </c>
      <c r="O288" s="309">
        <v>0</v>
      </c>
      <c r="P288" s="309">
        <v>0</v>
      </c>
      <c r="Q288" s="308">
        <v>0</v>
      </c>
      <c r="R288" s="309">
        <v>0</v>
      </c>
      <c r="S288" s="309">
        <v>0</v>
      </c>
      <c r="T288" s="309">
        <v>0</v>
      </c>
      <c r="U288" s="309">
        <v>0</v>
      </c>
      <c r="V288" s="315"/>
    </row>
    <row r="289" spans="1:22">
      <c r="A289" s="310"/>
      <c r="B289" s="311" t="s">
        <v>570</v>
      </c>
      <c r="C289" s="312">
        <v>0</v>
      </c>
      <c r="D289" s="313">
        <v>0</v>
      </c>
      <c r="E289" s="313">
        <v>0</v>
      </c>
      <c r="F289" s="313">
        <v>0</v>
      </c>
      <c r="G289" s="313">
        <v>0</v>
      </c>
      <c r="H289" s="313">
        <v>0</v>
      </c>
      <c r="I289" s="313">
        <v>0</v>
      </c>
      <c r="J289" s="314">
        <v>0</v>
      </c>
      <c r="K289" s="314">
        <v>0</v>
      </c>
      <c r="L289" s="313">
        <v>0</v>
      </c>
      <c r="M289" s="313">
        <v>0</v>
      </c>
      <c r="N289" s="313">
        <v>0</v>
      </c>
      <c r="O289" s="314">
        <v>0</v>
      </c>
      <c r="P289" s="314">
        <v>0</v>
      </c>
      <c r="Q289" s="313">
        <v>0</v>
      </c>
      <c r="R289" s="314">
        <v>0</v>
      </c>
      <c r="S289" s="314">
        <v>0</v>
      </c>
      <c r="T289" s="314">
        <v>0</v>
      </c>
      <c r="U289" s="314">
        <v>0</v>
      </c>
      <c r="V289" s="315"/>
    </row>
    <row r="290" spans="1:22" s="333" customFormat="1">
      <c r="A290" s="310"/>
      <c r="B290" s="316" t="s">
        <v>571</v>
      </c>
      <c r="C290" s="317">
        <v>0</v>
      </c>
      <c r="D290" s="318">
        <v>0</v>
      </c>
      <c r="E290" s="318">
        <v>0</v>
      </c>
      <c r="F290" s="318">
        <v>0</v>
      </c>
      <c r="G290" s="318">
        <v>0</v>
      </c>
      <c r="H290" s="318">
        <v>0</v>
      </c>
      <c r="I290" s="318">
        <v>0</v>
      </c>
      <c r="J290" s="320">
        <v>0</v>
      </c>
      <c r="K290" s="320">
        <v>0</v>
      </c>
      <c r="L290" s="318">
        <v>0</v>
      </c>
      <c r="M290" s="318">
        <v>0</v>
      </c>
      <c r="N290" s="318">
        <v>0</v>
      </c>
      <c r="O290" s="320">
        <v>0</v>
      </c>
      <c r="P290" s="320">
        <v>0</v>
      </c>
      <c r="Q290" s="318">
        <v>0</v>
      </c>
      <c r="R290" s="320">
        <v>0</v>
      </c>
      <c r="S290" s="320">
        <v>0</v>
      </c>
      <c r="T290" s="320">
        <v>0</v>
      </c>
      <c r="U290" s="320">
        <v>0</v>
      </c>
      <c r="V290" s="315"/>
    </row>
    <row r="291" spans="1:22">
      <c r="A291" s="310"/>
      <c r="B291" s="55" t="s">
        <v>572</v>
      </c>
      <c r="C291" s="307">
        <v>0</v>
      </c>
      <c r="D291" s="308">
        <v>0</v>
      </c>
      <c r="E291" s="308">
        <v>0</v>
      </c>
      <c r="F291" s="308">
        <v>0</v>
      </c>
      <c r="G291" s="308">
        <v>0</v>
      </c>
      <c r="H291" s="308">
        <v>0</v>
      </c>
      <c r="I291" s="308">
        <v>0</v>
      </c>
      <c r="J291" s="309">
        <v>0</v>
      </c>
      <c r="K291" s="309">
        <v>0</v>
      </c>
      <c r="L291" s="308">
        <v>0</v>
      </c>
      <c r="M291" s="308">
        <v>0</v>
      </c>
      <c r="N291" s="308">
        <v>0</v>
      </c>
      <c r="O291" s="309">
        <v>0</v>
      </c>
      <c r="P291" s="309">
        <v>0</v>
      </c>
      <c r="Q291" s="308">
        <v>0</v>
      </c>
      <c r="R291" s="309">
        <v>0</v>
      </c>
      <c r="S291" s="309">
        <v>0</v>
      </c>
      <c r="T291" s="309">
        <v>0</v>
      </c>
      <c r="U291" s="309">
        <v>0</v>
      </c>
      <c r="V291" s="315"/>
    </row>
    <row r="292" spans="1:22">
      <c r="A292" s="310"/>
      <c r="B292" s="311" t="s">
        <v>573</v>
      </c>
      <c r="C292" s="312">
        <v>0</v>
      </c>
      <c r="D292" s="313">
        <v>0</v>
      </c>
      <c r="E292" s="313">
        <v>0</v>
      </c>
      <c r="F292" s="313">
        <v>0</v>
      </c>
      <c r="G292" s="313">
        <v>0</v>
      </c>
      <c r="H292" s="313">
        <v>0</v>
      </c>
      <c r="I292" s="313">
        <v>0</v>
      </c>
      <c r="J292" s="314">
        <v>0</v>
      </c>
      <c r="K292" s="314">
        <v>0</v>
      </c>
      <c r="L292" s="313">
        <v>0</v>
      </c>
      <c r="M292" s="313">
        <v>0</v>
      </c>
      <c r="N292" s="313">
        <v>0</v>
      </c>
      <c r="O292" s="314">
        <v>0</v>
      </c>
      <c r="P292" s="314">
        <v>0</v>
      </c>
      <c r="Q292" s="313">
        <v>0</v>
      </c>
      <c r="R292" s="314">
        <v>0</v>
      </c>
      <c r="S292" s="314">
        <v>0</v>
      </c>
      <c r="T292" s="314">
        <v>0</v>
      </c>
      <c r="U292" s="314">
        <v>0</v>
      </c>
      <c r="V292" s="315"/>
    </row>
    <row r="293" spans="1:22" s="333" customFormat="1" ht="15" thickBot="1">
      <c r="A293" s="326"/>
      <c r="B293" s="327" t="s">
        <v>574</v>
      </c>
      <c r="C293" s="328">
        <v>0</v>
      </c>
      <c r="D293" s="329">
        <v>0</v>
      </c>
      <c r="E293" s="329">
        <v>0</v>
      </c>
      <c r="F293" s="329">
        <v>0</v>
      </c>
      <c r="G293" s="329">
        <v>0</v>
      </c>
      <c r="H293" s="329">
        <v>0</v>
      </c>
      <c r="I293" s="329">
        <v>0</v>
      </c>
      <c r="J293" s="330">
        <v>0</v>
      </c>
      <c r="K293" s="330">
        <v>0</v>
      </c>
      <c r="L293" s="329">
        <v>0</v>
      </c>
      <c r="M293" s="329">
        <v>0</v>
      </c>
      <c r="N293" s="329">
        <v>0</v>
      </c>
      <c r="O293" s="330">
        <v>0</v>
      </c>
      <c r="P293" s="330">
        <v>0</v>
      </c>
      <c r="Q293" s="329">
        <v>0</v>
      </c>
      <c r="R293" s="330">
        <v>0</v>
      </c>
      <c r="S293" s="330">
        <v>0</v>
      </c>
      <c r="T293" s="330">
        <v>0</v>
      </c>
      <c r="U293" s="330">
        <v>0</v>
      </c>
      <c r="V293" s="315"/>
    </row>
    <row r="294" spans="1:22">
      <c r="A294" s="306" t="s">
        <v>271</v>
      </c>
      <c r="B294" s="55" t="s">
        <v>539</v>
      </c>
      <c r="C294" s="307">
        <v>0.7833473519138926</v>
      </c>
      <c r="D294" s="308">
        <v>0.65607948472745681</v>
      </c>
      <c r="E294" s="308">
        <v>0</v>
      </c>
      <c r="F294" s="308">
        <v>0.60465980031433231</v>
      </c>
      <c r="G294" s="308">
        <v>0</v>
      </c>
      <c r="H294" s="308">
        <v>0</v>
      </c>
      <c r="I294" s="308">
        <v>0</v>
      </c>
      <c r="J294" s="309">
        <v>0.74564186359618179</v>
      </c>
      <c r="K294" s="309">
        <v>0</v>
      </c>
      <c r="L294" s="308">
        <v>0</v>
      </c>
      <c r="M294" s="308">
        <v>0</v>
      </c>
      <c r="N294" s="308">
        <v>0</v>
      </c>
      <c r="O294" s="309">
        <v>0</v>
      </c>
      <c r="P294" s="309">
        <v>0</v>
      </c>
      <c r="Q294" s="308">
        <v>0</v>
      </c>
      <c r="R294" s="309">
        <v>0</v>
      </c>
      <c r="S294" s="309">
        <v>0</v>
      </c>
      <c r="T294" s="309">
        <v>0</v>
      </c>
      <c r="U294" s="309">
        <v>0.74564186359618179</v>
      </c>
      <c r="V294" s="315"/>
    </row>
    <row r="295" spans="1:22">
      <c r="A295" s="310"/>
      <c r="B295" s="311" t="s">
        <v>540</v>
      </c>
      <c r="C295" s="312">
        <v>0.51340709418622998</v>
      </c>
      <c r="D295" s="313">
        <v>0.35596442623508467</v>
      </c>
      <c r="E295" s="313">
        <v>0</v>
      </c>
      <c r="F295" s="313">
        <v>0.52588225455761828</v>
      </c>
      <c r="G295" s="313">
        <v>0</v>
      </c>
      <c r="H295" s="313">
        <v>0</v>
      </c>
      <c r="I295" s="313">
        <v>0</v>
      </c>
      <c r="J295" s="314">
        <v>0.50353288633056759</v>
      </c>
      <c r="K295" s="314">
        <v>0</v>
      </c>
      <c r="L295" s="313">
        <v>0</v>
      </c>
      <c r="M295" s="313">
        <v>0</v>
      </c>
      <c r="N295" s="313">
        <v>0</v>
      </c>
      <c r="O295" s="314">
        <v>0</v>
      </c>
      <c r="P295" s="314">
        <v>0</v>
      </c>
      <c r="Q295" s="313">
        <v>0</v>
      </c>
      <c r="R295" s="314">
        <v>0</v>
      </c>
      <c r="S295" s="314">
        <v>0</v>
      </c>
      <c r="T295" s="314">
        <v>0</v>
      </c>
      <c r="U295" s="314">
        <v>0.50353288633056759</v>
      </c>
      <c r="V295" s="315"/>
    </row>
    <row r="296" spans="1:22" s="333" customFormat="1">
      <c r="A296" s="310"/>
      <c r="B296" s="316" t="s">
        <v>541</v>
      </c>
      <c r="C296" s="317">
        <v>-26.99402577276626</v>
      </c>
      <c r="D296" s="318">
        <v>-30.011505849237214</v>
      </c>
      <c r="E296" s="318">
        <v>0</v>
      </c>
      <c r="F296" s="318">
        <v>-7.8777545756714034</v>
      </c>
      <c r="G296" s="318">
        <v>0</v>
      </c>
      <c r="H296" s="318">
        <v>0</v>
      </c>
      <c r="I296" s="318">
        <v>0</v>
      </c>
      <c r="J296" s="320">
        <v>-24.21089772656142</v>
      </c>
      <c r="K296" s="320">
        <v>0</v>
      </c>
      <c r="L296" s="318">
        <v>0</v>
      </c>
      <c r="M296" s="318">
        <v>0</v>
      </c>
      <c r="N296" s="318">
        <v>0</v>
      </c>
      <c r="O296" s="320">
        <v>0</v>
      </c>
      <c r="P296" s="320">
        <v>0</v>
      </c>
      <c r="Q296" s="318">
        <v>0</v>
      </c>
      <c r="R296" s="320">
        <v>0</v>
      </c>
      <c r="S296" s="320">
        <v>0</v>
      </c>
      <c r="T296" s="320">
        <v>0</v>
      </c>
      <c r="U296" s="320">
        <v>-24.21089772656142</v>
      </c>
      <c r="V296" s="315"/>
    </row>
    <row r="297" spans="1:22">
      <c r="A297" s="310"/>
      <c r="B297" s="55" t="s">
        <v>542</v>
      </c>
      <c r="C297" s="307">
        <v>4.3417207213628912E-2</v>
      </c>
      <c r="D297" s="308">
        <v>1.9371941272430668E-2</v>
      </c>
      <c r="E297" s="308">
        <v>0</v>
      </c>
      <c r="F297" s="308">
        <v>3.4156352452470132E-2</v>
      </c>
      <c r="G297" s="308">
        <v>0</v>
      </c>
      <c r="H297" s="308">
        <v>0</v>
      </c>
      <c r="I297" s="308">
        <v>0</v>
      </c>
      <c r="J297" s="309">
        <v>4.0106969843337094E-2</v>
      </c>
      <c r="K297" s="309">
        <v>0</v>
      </c>
      <c r="L297" s="308">
        <v>0</v>
      </c>
      <c r="M297" s="308">
        <v>0</v>
      </c>
      <c r="N297" s="308">
        <v>0</v>
      </c>
      <c r="O297" s="309">
        <v>0</v>
      </c>
      <c r="P297" s="309">
        <v>0</v>
      </c>
      <c r="Q297" s="308">
        <v>0</v>
      </c>
      <c r="R297" s="309">
        <v>0</v>
      </c>
      <c r="S297" s="309">
        <v>0</v>
      </c>
      <c r="T297" s="309">
        <v>0</v>
      </c>
      <c r="U297" s="309">
        <v>4.0106969843337094E-2</v>
      </c>
      <c r="V297" s="315"/>
    </row>
    <row r="298" spans="1:22">
      <c r="A298" s="310"/>
      <c r="B298" s="311" t="s">
        <v>543</v>
      </c>
      <c r="C298" s="312">
        <v>3.3545602070669714E-2</v>
      </c>
      <c r="D298" s="313">
        <v>7.8842832143383584E-3</v>
      </c>
      <c r="E298" s="313">
        <v>0</v>
      </c>
      <c r="F298" s="313">
        <v>2.6604479313962506E-2</v>
      </c>
      <c r="G298" s="313">
        <v>0</v>
      </c>
      <c r="H298" s="313">
        <v>0</v>
      </c>
      <c r="I298" s="313">
        <v>0</v>
      </c>
      <c r="J298" s="314">
        <v>3.0607561904649354E-2</v>
      </c>
      <c r="K298" s="314">
        <v>0</v>
      </c>
      <c r="L298" s="313">
        <v>0</v>
      </c>
      <c r="M298" s="313">
        <v>0</v>
      </c>
      <c r="N298" s="313">
        <v>0</v>
      </c>
      <c r="O298" s="314">
        <v>0</v>
      </c>
      <c r="P298" s="314">
        <v>0</v>
      </c>
      <c r="Q298" s="313">
        <v>0</v>
      </c>
      <c r="R298" s="314">
        <v>0</v>
      </c>
      <c r="S298" s="314">
        <v>0</v>
      </c>
      <c r="T298" s="314">
        <v>0</v>
      </c>
      <c r="U298" s="314">
        <v>3.0607561904649354E-2</v>
      </c>
      <c r="V298" s="315"/>
    </row>
    <row r="299" spans="1:22" s="333" customFormat="1">
      <c r="A299" s="310"/>
      <c r="B299" s="316" t="s">
        <v>544</v>
      </c>
      <c r="C299" s="317">
        <v>-0.98716051429591989</v>
      </c>
      <c r="D299" s="318">
        <v>-1.1487658058092309</v>
      </c>
      <c r="E299" s="318">
        <v>0</v>
      </c>
      <c r="F299" s="318">
        <v>-0.75518731385076265</v>
      </c>
      <c r="G299" s="318">
        <v>0</v>
      </c>
      <c r="H299" s="318">
        <v>0</v>
      </c>
      <c r="I299" s="318">
        <v>0</v>
      </c>
      <c r="J299" s="320">
        <v>-0.94994079386877406</v>
      </c>
      <c r="K299" s="320">
        <v>0</v>
      </c>
      <c r="L299" s="318">
        <v>0</v>
      </c>
      <c r="M299" s="318">
        <v>0</v>
      </c>
      <c r="N299" s="318">
        <v>0</v>
      </c>
      <c r="O299" s="320">
        <v>0</v>
      </c>
      <c r="P299" s="320">
        <v>0</v>
      </c>
      <c r="Q299" s="318">
        <v>0</v>
      </c>
      <c r="R299" s="320">
        <v>0</v>
      </c>
      <c r="S299" s="320">
        <v>0</v>
      </c>
      <c r="T299" s="320">
        <v>0</v>
      </c>
      <c r="U299" s="320">
        <v>-0.94994079386877406</v>
      </c>
      <c r="V299" s="315"/>
    </row>
    <row r="300" spans="1:22">
      <c r="A300" s="310"/>
      <c r="B300" s="55" t="s">
        <v>545</v>
      </c>
      <c r="C300" s="307">
        <v>0.16056597048969989</v>
      </c>
      <c r="D300" s="308">
        <v>0.3245485740001125</v>
      </c>
      <c r="E300" s="308">
        <v>0</v>
      </c>
      <c r="F300" s="308">
        <v>0.35816479596654749</v>
      </c>
      <c r="G300" s="308">
        <v>0</v>
      </c>
      <c r="H300" s="308">
        <v>0</v>
      </c>
      <c r="I300" s="308">
        <v>0</v>
      </c>
      <c r="J300" s="309">
        <v>0.20406850655831829</v>
      </c>
      <c r="K300" s="309">
        <v>0</v>
      </c>
      <c r="L300" s="308">
        <v>0</v>
      </c>
      <c r="M300" s="308">
        <v>0</v>
      </c>
      <c r="N300" s="308">
        <v>0</v>
      </c>
      <c r="O300" s="309">
        <v>0</v>
      </c>
      <c r="P300" s="309">
        <v>0</v>
      </c>
      <c r="Q300" s="308">
        <v>0</v>
      </c>
      <c r="R300" s="309">
        <v>0</v>
      </c>
      <c r="S300" s="309">
        <v>0</v>
      </c>
      <c r="T300" s="309">
        <v>0</v>
      </c>
      <c r="U300" s="309">
        <v>0.20406850655831829</v>
      </c>
      <c r="V300" s="315"/>
    </row>
    <row r="301" spans="1:22">
      <c r="A301" s="310"/>
      <c r="B301" s="311" t="s">
        <v>546</v>
      </c>
      <c r="C301" s="312">
        <v>0.44348580105994434</v>
      </c>
      <c r="D301" s="313">
        <v>0.63615129055057695</v>
      </c>
      <c r="E301" s="313">
        <v>0</v>
      </c>
      <c r="F301" s="313">
        <v>0.44592817284739011</v>
      </c>
      <c r="G301" s="313">
        <v>0</v>
      </c>
      <c r="H301" s="313">
        <v>0</v>
      </c>
      <c r="I301" s="313">
        <v>0</v>
      </c>
      <c r="J301" s="314">
        <v>0.45819077839428479</v>
      </c>
      <c r="K301" s="314">
        <v>0</v>
      </c>
      <c r="L301" s="313">
        <v>0</v>
      </c>
      <c r="M301" s="313">
        <v>0</v>
      </c>
      <c r="N301" s="313">
        <v>0</v>
      </c>
      <c r="O301" s="314">
        <v>0</v>
      </c>
      <c r="P301" s="314">
        <v>0</v>
      </c>
      <c r="Q301" s="313">
        <v>0</v>
      </c>
      <c r="R301" s="314">
        <v>0</v>
      </c>
      <c r="S301" s="314">
        <v>0</v>
      </c>
      <c r="T301" s="314">
        <v>0</v>
      </c>
      <c r="U301" s="314">
        <v>0.45819077839428479</v>
      </c>
      <c r="V301" s="315"/>
    </row>
    <row r="302" spans="1:22" s="333" customFormat="1">
      <c r="A302" s="310"/>
      <c r="B302" s="316" t="s">
        <v>547</v>
      </c>
      <c r="C302" s="317">
        <v>28.291983057024446</v>
      </c>
      <c r="D302" s="318">
        <v>31.160271655046444</v>
      </c>
      <c r="E302" s="318">
        <v>0</v>
      </c>
      <c r="F302" s="318">
        <v>8.7763376880842632</v>
      </c>
      <c r="G302" s="318">
        <v>0</v>
      </c>
      <c r="H302" s="318">
        <v>0</v>
      </c>
      <c r="I302" s="318">
        <v>0</v>
      </c>
      <c r="J302" s="320">
        <v>25.412227183596649</v>
      </c>
      <c r="K302" s="320">
        <v>0</v>
      </c>
      <c r="L302" s="318">
        <v>0</v>
      </c>
      <c r="M302" s="318">
        <v>0</v>
      </c>
      <c r="N302" s="318">
        <v>0</v>
      </c>
      <c r="O302" s="320">
        <v>0</v>
      </c>
      <c r="P302" s="320">
        <v>0</v>
      </c>
      <c r="Q302" s="318">
        <v>0</v>
      </c>
      <c r="R302" s="320">
        <v>0</v>
      </c>
      <c r="S302" s="320">
        <v>0</v>
      </c>
      <c r="T302" s="320">
        <v>0</v>
      </c>
      <c r="U302" s="320">
        <v>25.412227183596649</v>
      </c>
      <c r="V302" s="315"/>
    </row>
    <row r="303" spans="1:22">
      <c r="A303" s="310"/>
      <c r="B303" s="55" t="s">
        <v>548</v>
      </c>
      <c r="C303" s="307">
        <v>8.9400527478793925E-3</v>
      </c>
      <c r="D303" s="308">
        <v>0</v>
      </c>
      <c r="E303" s="308">
        <v>0</v>
      </c>
      <c r="F303" s="308">
        <v>0</v>
      </c>
      <c r="G303" s="308">
        <v>0</v>
      </c>
      <c r="H303" s="308">
        <v>0</v>
      </c>
      <c r="I303" s="308">
        <v>0</v>
      </c>
      <c r="J303" s="309">
        <v>6.8536504103856796E-3</v>
      </c>
      <c r="K303" s="309">
        <v>0</v>
      </c>
      <c r="L303" s="308">
        <v>0</v>
      </c>
      <c r="M303" s="308">
        <v>0</v>
      </c>
      <c r="N303" s="308">
        <v>0</v>
      </c>
      <c r="O303" s="309">
        <v>0</v>
      </c>
      <c r="P303" s="309">
        <v>0</v>
      </c>
      <c r="Q303" s="308">
        <v>0</v>
      </c>
      <c r="R303" s="309">
        <v>0</v>
      </c>
      <c r="S303" s="309">
        <v>0</v>
      </c>
      <c r="T303" s="309">
        <v>0</v>
      </c>
      <c r="U303" s="309">
        <v>6.8536504103856796E-3</v>
      </c>
      <c r="V303" s="315"/>
    </row>
    <row r="304" spans="1:22">
      <c r="A304" s="310"/>
      <c r="B304" s="311" t="s">
        <v>549</v>
      </c>
      <c r="C304" s="312">
        <v>6.4129382114127137E-3</v>
      </c>
      <c r="D304" s="313">
        <v>0</v>
      </c>
      <c r="E304" s="313">
        <v>0</v>
      </c>
      <c r="F304" s="313">
        <v>0</v>
      </c>
      <c r="G304" s="313">
        <v>0</v>
      </c>
      <c r="H304" s="313">
        <v>0</v>
      </c>
      <c r="I304" s="313">
        <v>0</v>
      </c>
      <c r="J304" s="314">
        <v>4.9860814605279333E-3</v>
      </c>
      <c r="K304" s="314">
        <v>0</v>
      </c>
      <c r="L304" s="313">
        <v>0</v>
      </c>
      <c r="M304" s="313">
        <v>0</v>
      </c>
      <c r="N304" s="313">
        <v>0</v>
      </c>
      <c r="O304" s="314">
        <v>0</v>
      </c>
      <c r="P304" s="314">
        <v>0</v>
      </c>
      <c r="Q304" s="313">
        <v>0</v>
      </c>
      <c r="R304" s="314">
        <v>0</v>
      </c>
      <c r="S304" s="314">
        <v>0</v>
      </c>
      <c r="T304" s="314">
        <v>0</v>
      </c>
      <c r="U304" s="314">
        <v>4.9860814605279333E-3</v>
      </c>
      <c r="V304" s="315"/>
    </row>
    <row r="305" spans="1:22" s="333" customFormat="1">
      <c r="A305" s="310"/>
      <c r="B305" s="316" t="s">
        <v>550</v>
      </c>
      <c r="C305" s="317">
        <v>-0.25271145364666786</v>
      </c>
      <c r="D305" s="318">
        <v>0</v>
      </c>
      <c r="E305" s="318">
        <v>0</v>
      </c>
      <c r="F305" s="318">
        <v>0</v>
      </c>
      <c r="G305" s="318">
        <v>0</v>
      </c>
      <c r="H305" s="318">
        <v>0</v>
      </c>
      <c r="I305" s="318">
        <v>0</v>
      </c>
      <c r="J305" s="320">
        <v>-0.18675689498577464</v>
      </c>
      <c r="K305" s="320">
        <v>0</v>
      </c>
      <c r="L305" s="318">
        <v>0</v>
      </c>
      <c r="M305" s="318">
        <v>0</v>
      </c>
      <c r="N305" s="318">
        <v>0</v>
      </c>
      <c r="O305" s="320">
        <v>0</v>
      </c>
      <c r="P305" s="320">
        <v>0</v>
      </c>
      <c r="Q305" s="318">
        <v>0</v>
      </c>
      <c r="R305" s="320">
        <v>0</v>
      </c>
      <c r="S305" s="320">
        <v>0</v>
      </c>
      <c r="T305" s="320">
        <v>0</v>
      </c>
      <c r="U305" s="320">
        <v>-0.18675689498577464</v>
      </c>
      <c r="V305" s="315"/>
    </row>
    <row r="306" spans="1:22">
      <c r="A306" s="310"/>
      <c r="B306" s="55" t="s">
        <v>551</v>
      </c>
      <c r="C306" s="307">
        <v>0</v>
      </c>
      <c r="D306" s="308">
        <v>0</v>
      </c>
      <c r="E306" s="308">
        <v>0</v>
      </c>
      <c r="F306" s="308">
        <v>1.1233679131720855E-4</v>
      </c>
      <c r="G306" s="308">
        <v>0</v>
      </c>
      <c r="H306" s="308">
        <v>0</v>
      </c>
      <c r="I306" s="308">
        <v>0</v>
      </c>
      <c r="J306" s="309">
        <v>1.7486590107825047E-5</v>
      </c>
      <c r="K306" s="309">
        <v>0</v>
      </c>
      <c r="L306" s="308">
        <v>0</v>
      </c>
      <c r="M306" s="308">
        <v>0</v>
      </c>
      <c r="N306" s="308">
        <v>0</v>
      </c>
      <c r="O306" s="309">
        <v>0</v>
      </c>
      <c r="P306" s="309">
        <v>0</v>
      </c>
      <c r="Q306" s="308">
        <v>0</v>
      </c>
      <c r="R306" s="309">
        <v>0</v>
      </c>
      <c r="S306" s="309">
        <v>0</v>
      </c>
      <c r="T306" s="309">
        <v>0</v>
      </c>
      <c r="U306" s="309">
        <v>1.7486590107825047E-5</v>
      </c>
      <c r="V306" s="315"/>
    </row>
    <row r="307" spans="1:22">
      <c r="A307" s="310"/>
      <c r="B307" s="311" t="s">
        <v>552</v>
      </c>
      <c r="C307" s="312">
        <v>0</v>
      </c>
      <c r="D307" s="313">
        <v>0</v>
      </c>
      <c r="E307" s="313">
        <v>0</v>
      </c>
      <c r="F307" s="313">
        <v>2.2807097568763399E-5</v>
      </c>
      <c r="G307" s="313">
        <v>0</v>
      </c>
      <c r="H307" s="313">
        <v>0</v>
      </c>
      <c r="I307" s="313">
        <v>0</v>
      </c>
      <c r="J307" s="314">
        <v>3.3765788671746731E-6</v>
      </c>
      <c r="K307" s="314">
        <v>0</v>
      </c>
      <c r="L307" s="313">
        <v>0</v>
      </c>
      <c r="M307" s="313">
        <v>0</v>
      </c>
      <c r="N307" s="313">
        <v>0</v>
      </c>
      <c r="O307" s="314">
        <v>0</v>
      </c>
      <c r="P307" s="314">
        <v>0</v>
      </c>
      <c r="Q307" s="313">
        <v>0</v>
      </c>
      <c r="R307" s="314">
        <v>0</v>
      </c>
      <c r="S307" s="314">
        <v>0</v>
      </c>
      <c r="T307" s="314">
        <v>0</v>
      </c>
      <c r="U307" s="314">
        <v>3.3765788671746731E-6</v>
      </c>
      <c r="V307" s="315"/>
    </row>
    <row r="308" spans="1:22" s="333" customFormat="1">
      <c r="A308" s="310"/>
      <c r="B308" s="316" t="s">
        <v>553</v>
      </c>
      <c r="C308" s="317">
        <v>0</v>
      </c>
      <c r="D308" s="318">
        <v>0</v>
      </c>
      <c r="E308" s="318">
        <v>0</v>
      </c>
      <c r="F308" s="318">
        <v>-8.9529693748445147E-3</v>
      </c>
      <c r="G308" s="318">
        <v>0</v>
      </c>
      <c r="H308" s="318">
        <v>0</v>
      </c>
      <c r="I308" s="318">
        <v>0</v>
      </c>
      <c r="J308" s="320">
        <v>-1.4110011240650374E-3</v>
      </c>
      <c r="K308" s="320">
        <v>0</v>
      </c>
      <c r="L308" s="318">
        <v>0</v>
      </c>
      <c r="M308" s="318">
        <v>0</v>
      </c>
      <c r="N308" s="318">
        <v>0</v>
      </c>
      <c r="O308" s="320">
        <v>0</v>
      </c>
      <c r="P308" s="320">
        <v>0</v>
      </c>
      <c r="Q308" s="318">
        <v>0</v>
      </c>
      <c r="R308" s="320">
        <v>0</v>
      </c>
      <c r="S308" s="320">
        <v>0</v>
      </c>
      <c r="T308" s="320">
        <v>0</v>
      </c>
      <c r="U308" s="320">
        <v>-1.4110011240650374E-3</v>
      </c>
      <c r="V308" s="315"/>
    </row>
    <row r="309" spans="1:22">
      <c r="A309" s="310"/>
      <c r="B309" s="55" t="s">
        <v>554</v>
      </c>
      <c r="C309" s="307">
        <v>3.7294176348991377E-3</v>
      </c>
      <c r="D309" s="308">
        <v>0</v>
      </c>
      <c r="E309" s="308">
        <v>0</v>
      </c>
      <c r="F309" s="308">
        <v>2.9067144753327713E-3</v>
      </c>
      <c r="G309" s="308">
        <v>0</v>
      </c>
      <c r="H309" s="308">
        <v>0</v>
      </c>
      <c r="I309" s="308">
        <v>0</v>
      </c>
      <c r="J309" s="309">
        <v>3.3115230016693684E-3</v>
      </c>
      <c r="K309" s="309">
        <v>0</v>
      </c>
      <c r="L309" s="308">
        <v>0</v>
      </c>
      <c r="M309" s="308">
        <v>0</v>
      </c>
      <c r="N309" s="308">
        <v>0</v>
      </c>
      <c r="O309" s="309">
        <v>0</v>
      </c>
      <c r="P309" s="309">
        <v>0</v>
      </c>
      <c r="Q309" s="308">
        <v>0</v>
      </c>
      <c r="R309" s="309">
        <v>0</v>
      </c>
      <c r="S309" s="309">
        <v>0</v>
      </c>
      <c r="T309" s="309">
        <v>0</v>
      </c>
      <c r="U309" s="309">
        <v>3.3115230016693684E-3</v>
      </c>
      <c r="V309" s="315"/>
    </row>
    <row r="310" spans="1:22">
      <c r="A310" s="310"/>
      <c r="B310" s="311" t="s">
        <v>555</v>
      </c>
      <c r="C310" s="312">
        <v>3.1485644717432625E-3</v>
      </c>
      <c r="D310" s="313">
        <v>0</v>
      </c>
      <c r="E310" s="313">
        <v>0</v>
      </c>
      <c r="F310" s="313">
        <v>1.5622861834602929E-3</v>
      </c>
      <c r="G310" s="313">
        <v>0</v>
      </c>
      <c r="H310" s="313">
        <v>0</v>
      </c>
      <c r="I310" s="313">
        <v>0</v>
      </c>
      <c r="J310" s="314">
        <v>2.6793153311031031E-3</v>
      </c>
      <c r="K310" s="314">
        <v>0</v>
      </c>
      <c r="L310" s="313">
        <v>0</v>
      </c>
      <c r="M310" s="313">
        <v>0</v>
      </c>
      <c r="N310" s="313">
        <v>0</v>
      </c>
      <c r="O310" s="314">
        <v>0</v>
      </c>
      <c r="P310" s="314">
        <v>0</v>
      </c>
      <c r="Q310" s="313">
        <v>0</v>
      </c>
      <c r="R310" s="314">
        <v>0</v>
      </c>
      <c r="S310" s="314">
        <v>0</v>
      </c>
      <c r="T310" s="314">
        <v>0</v>
      </c>
      <c r="U310" s="314">
        <v>2.6793153311031031E-3</v>
      </c>
      <c r="V310" s="315"/>
    </row>
    <row r="311" spans="1:22" s="333" customFormat="1" ht="15" thickBot="1">
      <c r="A311" s="310"/>
      <c r="B311" s="322" t="s">
        <v>556</v>
      </c>
      <c r="C311" s="323">
        <v>-5.8085316315587519E-2</v>
      </c>
      <c r="D311" s="324">
        <v>0</v>
      </c>
      <c r="E311" s="324">
        <v>0</v>
      </c>
      <c r="F311" s="324">
        <v>-0.13444282918724784</v>
      </c>
      <c r="G311" s="324">
        <v>0</v>
      </c>
      <c r="H311" s="324">
        <v>0</v>
      </c>
      <c r="I311" s="324">
        <v>0</v>
      </c>
      <c r="J311" s="325">
        <v>-6.3220767056626534E-2</v>
      </c>
      <c r="K311" s="325">
        <v>0</v>
      </c>
      <c r="L311" s="324">
        <v>0</v>
      </c>
      <c r="M311" s="324">
        <v>0</v>
      </c>
      <c r="N311" s="324">
        <v>0</v>
      </c>
      <c r="O311" s="325">
        <v>0</v>
      </c>
      <c r="P311" s="325">
        <v>0</v>
      </c>
      <c r="Q311" s="324">
        <v>0</v>
      </c>
      <c r="R311" s="325">
        <v>0</v>
      </c>
      <c r="S311" s="325">
        <v>0</v>
      </c>
      <c r="T311" s="325">
        <v>0</v>
      </c>
      <c r="U311" s="325">
        <v>-6.3220767056626534E-2</v>
      </c>
      <c r="V311" s="315"/>
    </row>
    <row r="312" spans="1:22" ht="15" thickTop="1">
      <c r="A312" s="310"/>
      <c r="B312" s="311" t="s">
        <v>557</v>
      </c>
      <c r="C312" s="312">
        <v>0.71950844675903103</v>
      </c>
      <c r="D312" s="313">
        <v>0.29717441821304685</v>
      </c>
      <c r="E312" s="313">
        <v>0</v>
      </c>
      <c r="F312" s="313">
        <v>0.23489607039902899</v>
      </c>
      <c r="G312" s="313">
        <v>0</v>
      </c>
      <c r="H312" s="313">
        <v>0</v>
      </c>
      <c r="I312" s="313">
        <v>0</v>
      </c>
      <c r="J312" s="314">
        <v>0.59822784487049141</v>
      </c>
      <c r="K312" s="314">
        <v>0</v>
      </c>
      <c r="L312" s="313">
        <v>0</v>
      </c>
      <c r="M312" s="313">
        <v>0</v>
      </c>
      <c r="N312" s="313">
        <v>0</v>
      </c>
      <c r="O312" s="314">
        <v>0</v>
      </c>
      <c r="P312" s="314">
        <v>0</v>
      </c>
      <c r="Q312" s="313">
        <v>0</v>
      </c>
      <c r="R312" s="314">
        <v>0</v>
      </c>
      <c r="S312" s="314">
        <v>0</v>
      </c>
      <c r="T312" s="314">
        <v>0</v>
      </c>
      <c r="U312" s="314">
        <v>0.59822784487049141</v>
      </c>
      <c r="V312" s="315"/>
    </row>
    <row r="313" spans="1:22">
      <c r="A313" s="310"/>
      <c r="B313" s="311" t="s">
        <v>558</v>
      </c>
      <c r="C313" s="312">
        <v>0.52648458074929916</v>
      </c>
      <c r="D313" s="313">
        <v>0.21679438058748404</v>
      </c>
      <c r="E313" s="313">
        <v>0</v>
      </c>
      <c r="F313" s="313">
        <v>0.17903743923586435</v>
      </c>
      <c r="G313" s="313">
        <v>0</v>
      </c>
      <c r="H313" s="313">
        <v>0</v>
      </c>
      <c r="I313" s="313">
        <v>0</v>
      </c>
      <c r="J313" s="314">
        <v>0.43774543058166804</v>
      </c>
      <c r="K313" s="314">
        <v>0</v>
      </c>
      <c r="L313" s="313">
        <v>0</v>
      </c>
      <c r="M313" s="313">
        <v>0</v>
      </c>
      <c r="N313" s="313">
        <v>0</v>
      </c>
      <c r="O313" s="314">
        <v>0</v>
      </c>
      <c r="P313" s="314">
        <v>0</v>
      </c>
      <c r="Q313" s="313">
        <v>0</v>
      </c>
      <c r="R313" s="314">
        <v>0</v>
      </c>
      <c r="S313" s="314">
        <v>0</v>
      </c>
      <c r="T313" s="314">
        <v>0</v>
      </c>
      <c r="U313" s="314">
        <v>0.43774543058166804</v>
      </c>
      <c r="V313" s="315"/>
    </row>
    <row r="314" spans="1:22" s="333" customFormat="1">
      <c r="A314" s="310"/>
      <c r="B314" s="316" t="s">
        <v>559</v>
      </c>
      <c r="C314" s="317">
        <v>-19.302386600973186</v>
      </c>
      <c r="D314" s="318">
        <v>-8.038003762556281</v>
      </c>
      <c r="E314" s="318">
        <v>0</v>
      </c>
      <c r="F314" s="318">
        <v>-5.5858631163164638</v>
      </c>
      <c r="G314" s="318">
        <v>0</v>
      </c>
      <c r="H314" s="318">
        <v>0</v>
      </c>
      <c r="I314" s="318">
        <v>0</v>
      </c>
      <c r="J314" s="320">
        <v>-16.048241428882339</v>
      </c>
      <c r="K314" s="320">
        <v>0</v>
      </c>
      <c r="L314" s="318">
        <v>0</v>
      </c>
      <c r="M314" s="318">
        <v>0</v>
      </c>
      <c r="N314" s="318">
        <v>0</v>
      </c>
      <c r="O314" s="320">
        <v>0</v>
      </c>
      <c r="P314" s="320">
        <v>0</v>
      </c>
      <c r="Q314" s="318">
        <v>0</v>
      </c>
      <c r="R314" s="320">
        <v>0</v>
      </c>
      <c r="S314" s="320">
        <v>0</v>
      </c>
      <c r="T314" s="320">
        <v>0</v>
      </c>
      <c r="U314" s="320">
        <v>-16.048241428882339</v>
      </c>
      <c r="V314" s="315"/>
    </row>
    <row r="315" spans="1:22">
      <c r="A315" s="310"/>
      <c r="B315" s="55" t="s">
        <v>560</v>
      </c>
      <c r="C315" s="307">
        <v>3.6634518914592913E-2</v>
      </c>
      <c r="D315" s="308">
        <v>0.16182265180345537</v>
      </c>
      <c r="E315" s="308">
        <v>0</v>
      </c>
      <c r="F315" s="308">
        <v>1.0104688211197086E-2</v>
      </c>
      <c r="G315" s="308">
        <v>0</v>
      </c>
      <c r="H315" s="308">
        <v>0</v>
      </c>
      <c r="I315" s="308">
        <v>0</v>
      </c>
      <c r="J315" s="309">
        <v>4.8727885282094256E-2</v>
      </c>
      <c r="K315" s="309">
        <v>0</v>
      </c>
      <c r="L315" s="308">
        <v>0</v>
      </c>
      <c r="M315" s="308">
        <v>0</v>
      </c>
      <c r="N315" s="308">
        <v>0</v>
      </c>
      <c r="O315" s="309">
        <v>0</v>
      </c>
      <c r="P315" s="309">
        <v>0</v>
      </c>
      <c r="Q315" s="308">
        <v>0</v>
      </c>
      <c r="R315" s="309">
        <v>0</v>
      </c>
      <c r="S315" s="309">
        <v>0</v>
      </c>
      <c r="T315" s="309">
        <v>0</v>
      </c>
      <c r="U315" s="309">
        <v>4.8727885282094256E-2</v>
      </c>
      <c r="V315" s="315"/>
    </row>
    <row r="316" spans="1:22">
      <c r="A316" s="310"/>
      <c r="B316" s="311" t="s">
        <v>561</v>
      </c>
      <c r="C316" s="312">
        <v>2.0829793560445162E-2</v>
      </c>
      <c r="D316" s="313">
        <v>8.4784627888076169E-2</v>
      </c>
      <c r="E316" s="313">
        <v>0</v>
      </c>
      <c r="F316" s="313">
        <v>3.2123262358927708E-3</v>
      </c>
      <c r="G316" s="313">
        <v>0</v>
      </c>
      <c r="H316" s="313">
        <v>0</v>
      </c>
      <c r="I316" s="313">
        <v>0</v>
      </c>
      <c r="J316" s="314">
        <v>2.6968774833795284E-2</v>
      </c>
      <c r="K316" s="314">
        <v>0</v>
      </c>
      <c r="L316" s="313">
        <v>0</v>
      </c>
      <c r="M316" s="313">
        <v>0</v>
      </c>
      <c r="N316" s="313">
        <v>0</v>
      </c>
      <c r="O316" s="314">
        <v>0</v>
      </c>
      <c r="P316" s="314">
        <v>0</v>
      </c>
      <c r="Q316" s="313">
        <v>0</v>
      </c>
      <c r="R316" s="314">
        <v>0</v>
      </c>
      <c r="S316" s="314">
        <v>0</v>
      </c>
      <c r="T316" s="314">
        <v>0</v>
      </c>
      <c r="U316" s="314">
        <v>2.6968774833795284E-2</v>
      </c>
      <c r="V316" s="315"/>
    </row>
    <row r="317" spans="1:22" s="333" customFormat="1">
      <c r="A317" s="310"/>
      <c r="B317" s="316" t="s">
        <v>562</v>
      </c>
      <c r="C317" s="317">
        <v>-1.5804725354147751</v>
      </c>
      <c r="D317" s="318">
        <v>-7.7038023915379199</v>
      </c>
      <c r="E317" s="318">
        <v>0</v>
      </c>
      <c r="F317" s="318">
        <v>-0.68923619753043164</v>
      </c>
      <c r="G317" s="318">
        <v>0</v>
      </c>
      <c r="H317" s="318">
        <v>0</v>
      </c>
      <c r="I317" s="318">
        <v>0</v>
      </c>
      <c r="J317" s="320">
        <v>-2.1759110448298973</v>
      </c>
      <c r="K317" s="320">
        <v>0</v>
      </c>
      <c r="L317" s="318">
        <v>0</v>
      </c>
      <c r="M317" s="318">
        <v>0</v>
      </c>
      <c r="N317" s="318">
        <v>0</v>
      </c>
      <c r="O317" s="320">
        <v>0</v>
      </c>
      <c r="P317" s="320">
        <v>0</v>
      </c>
      <c r="Q317" s="318">
        <v>0</v>
      </c>
      <c r="R317" s="320">
        <v>0</v>
      </c>
      <c r="S317" s="320">
        <v>0</v>
      </c>
      <c r="T317" s="320">
        <v>0</v>
      </c>
      <c r="U317" s="320">
        <v>-2.1759110448298973</v>
      </c>
      <c r="V317" s="315"/>
    </row>
    <row r="318" spans="1:22">
      <c r="A318" s="310"/>
      <c r="B318" s="55" t="s">
        <v>563</v>
      </c>
      <c r="C318" s="307">
        <v>0.23525079306165292</v>
      </c>
      <c r="D318" s="308">
        <v>0.54100292998349775</v>
      </c>
      <c r="E318" s="308">
        <v>0</v>
      </c>
      <c r="F318" s="308">
        <v>0.75299651039296012</v>
      </c>
      <c r="G318" s="308">
        <v>0</v>
      </c>
      <c r="H318" s="308">
        <v>0</v>
      </c>
      <c r="I318" s="308">
        <v>0</v>
      </c>
      <c r="J318" s="309">
        <v>0.34645079781011651</v>
      </c>
      <c r="K318" s="309">
        <v>0</v>
      </c>
      <c r="L318" s="308">
        <v>0</v>
      </c>
      <c r="M318" s="308">
        <v>0</v>
      </c>
      <c r="N318" s="308">
        <v>0</v>
      </c>
      <c r="O318" s="309">
        <v>0</v>
      </c>
      <c r="P318" s="309">
        <v>0</v>
      </c>
      <c r="Q318" s="308">
        <v>0</v>
      </c>
      <c r="R318" s="309">
        <v>0</v>
      </c>
      <c r="S318" s="309">
        <v>0</v>
      </c>
      <c r="T318" s="309">
        <v>0</v>
      </c>
      <c r="U318" s="309">
        <v>0.34645079781011651</v>
      </c>
      <c r="V318" s="315"/>
    </row>
    <row r="319" spans="1:22">
      <c r="A319" s="310"/>
      <c r="B319" s="311" t="s">
        <v>564</v>
      </c>
      <c r="C319" s="312">
        <v>0.4464680146121825</v>
      </c>
      <c r="D319" s="313">
        <v>0.69842099152443982</v>
      </c>
      <c r="E319" s="313">
        <v>0</v>
      </c>
      <c r="F319" s="313">
        <v>0.81374193364982805</v>
      </c>
      <c r="G319" s="313">
        <v>0</v>
      </c>
      <c r="H319" s="313">
        <v>0</v>
      </c>
      <c r="I319" s="313">
        <v>0</v>
      </c>
      <c r="J319" s="314">
        <v>0.5301998333107204</v>
      </c>
      <c r="K319" s="314">
        <v>0</v>
      </c>
      <c r="L319" s="313">
        <v>0</v>
      </c>
      <c r="M319" s="313">
        <v>0</v>
      </c>
      <c r="N319" s="313">
        <v>0</v>
      </c>
      <c r="O319" s="314">
        <v>0</v>
      </c>
      <c r="P319" s="314">
        <v>0</v>
      </c>
      <c r="Q319" s="313">
        <v>0</v>
      </c>
      <c r="R319" s="314">
        <v>0</v>
      </c>
      <c r="S319" s="314">
        <v>0</v>
      </c>
      <c r="T319" s="314">
        <v>0</v>
      </c>
      <c r="U319" s="314">
        <v>0.5301998333107204</v>
      </c>
      <c r="V319" s="315"/>
    </row>
    <row r="320" spans="1:22" s="333" customFormat="1">
      <c r="A320" s="310"/>
      <c r="B320" s="316" t="s">
        <v>565</v>
      </c>
      <c r="C320" s="317">
        <v>21.121722155052957</v>
      </c>
      <c r="D320" s="318">
        <v>15.741806154094206</v>
      </c>
      <c r="E320" s="318">
        <v>0</v>
      </c>
      <c r="F320" s="318">
        <v>6.0745423256867941</v>
      </c>
      <c r="G320" s="318">
        <v>0</v>
      </c>
      <c r="H320" s="318">
        <v>0</v>
      </c>
      <c r="I320" s="318">
        <v>0</v>
      </c>
      <c r="J320" s="320">
        <v>18.374903550060388</v>
      </c>
      <c r="K320" s="320">
        <v>0</v>
      </c>
      <c r="L320" s="318">
        <v>0</v>
      </c>
      <c r="M320" s="318">
        <v>0</v>
      </c>
      <c r="N320" s="318">
        <v>0</v>
      </c>
      <c r="O320" s="320">
        <v>0</v>
      </c>
      <c r="P320" s="320">
        <v>0</v>
      </c>
      <c r="Q320" s="318">
        <v>0</v>
      </c>
      <c r="R320" s="320">
        <v>0</v>
      </c>
      <c r="S320" s="320">
        <v>0</v>
      </c>
      <c r="T320" s="320">
        <v>0</v>
      </c>
      <c r="U320" s="320">
        <v>18.374903550060388</v>
      </c>
      <c r="V320" s="315"/>
    </row>
    <row r="321" spans="1:22">
      <c r="A321" s="310"/>
      <c r="B321" s="55" t="s">
        <v>566</v>
      </c>
      <c r="C321" s="307">
        <v>8.1190955327576503E-3</v>
      </c>
      <c r="D321" s="308">
        <v>0</v>
      </c>
      <c r="E321" s="308">
        <v>0</v>
      </c>
      <c r="F321" s="308">
        <v>0</v>
      </c>
      <c r="G321" s="308">
        <v>0</v>
      </c>
      <c r="H321" s="308">
        <v>0</v>
      </c>
      <c r="I321" s="308">
        <v>0</v>
      </c>
      <c r="J321" s="309">
        <v>5.9553940982044491E-3</v>
      </c>
      <c r="K321" s="309">
        <v>0</v>
      </c>
      <c r="L321" s="308">
        <v>0</v>
      </c>
      <c r="M321" s="308">
        <v>0</v>
      </c>
      <c r="N321" s="308">
        <v>0</v>
      </c>
      <c r="O321" s="309">
        <v>0</v>
      </c>
      <c r="P321" s="309">
        <v>0</v>
      </c>
      <c r="Q321" s="308">
        <v>0</v>
      </c>
      <c r="R321" s="309">
        <v>0</v>
      </c>
      <c r="S321" s="309">
        <v>0</v>
      </c>
      <c r="T321" s="309">
        <v>0</v>
      </c>
      <c r="U321" s="309">
        <v>5.9553940982044491E-3</v>
      </c>
      <c r="V321" s="315"/>
    </row>
    <row r="322" spans="1:22">
      <c r="A322" s="310"/>
      <c r="B322" s="311" t="s">
        <v>567</v>
      </c>
      <c r="C322" s="312">
        <v>5.93088947413134E-3</v>
      </c>
      <c r="D322" s="313">
        <v>0</v>
      </c>
      <c r="E322" s="313">
        <v>0</v>
      </c>
      <c r="F322" s="313">
        <v>0</v>
      </c>
      <c r="G322" s="313">
        <v>0</v>
      </c>
      <c r="H322" s="313">
        <v>0</v>
      </c>
      <c r="I322" s="313">
        <v>0</v>
      </c>
      <c r="J322" s="314">
        <v>4.3300447735157869E-3</v>
      </c>
      <c r="K322" s="314">
        <v>0</v>
      </c>
      <c r="L322" s="313">
        <v>0</v>
      </c>
      <c r="M322" s="313">
        <v>0</v>
      </c>
      <c r="N322" s="313">
        <v>0</v>
      </c>
      <c r="O322" s="314">
        <v>0</v>
      </c>
      <c r="P322" s="314">
        <v>0</v>
      </c>
      <c r="Q322" s="313">
        <v>0</v>
      </c>
      <c r="R322" s="314">
        <v>0</v>
      </c>
      <c r="S322" s="314">
        <v>0</v>
      </c>
      <c r="T322" s="314">
        <v>0</v>
      </c>
      <c r="U322" s="314">
        <v>4.3300447735157869E-3</v>
      </c>
      <c r="V322" s="315"/>
    </row>
    <row r="323" spans="1:22" s="333" customFormat="1">
      <c r="A323" s="310"/>
      <c r="B323" s="316" t="s">
        <v>568</v>
      </c>
      <c r="C323" s="317">
        <v>-0.21882060586263102</v>
      </c>
      <c r="D323" s="318">
        <v>0</v>
      </c>
      <c r="E323" s="318">
        <v>0</v>
      </c>
      <c r="F323" s="318">
        <v>0</v>
      </c>
      <c r="G323" s="318">
        <v>0</v>
      </c>
      <c r="H323" s="318">
        <v>0</v>
      </c>
      <c r="I323" s="318">
        <v>0</v>
      </c>
      <c r="J323" s="320">
        <v>-0.16253493246886622</v>
      </c>
      <c r="K323" s="320">
        <v>0</v>
      </c>
      <c r="L323" s="318">
        <v>0</v>
      </c>
      <c r="M323" s="318">
        <v>0</v>
      </c>
      <c r="N323" s="318">
        <v>0</v>
      </c>
      <c r="O323" s="320">
        <v>0</v>
      </c>
      <c r="P323" s="320">
        <v>0</v>
      </c>
      <c r="Q323" s="318">
        <v>0</v>
      </c>
      <c r="R323" s="320">
        <v>0</v>
      </c>
      <c r="S323" s="320">
        <v>0</v>
      </c>
      <c r="T323" s="320">
        <v>0</v>
      </c>
      <c r="U323" s="320">
        <v>-0.16253493246886622</v>
      </c>
      <c r="V323" s="315"/>
    </row>
    <row r="324" spans="1:22">
      <c r="A324" s="310"/>
      <c r="B324" s="55" t="s">
        <v>569</v>
      </c>
      <c r="C324" s="307">
        <v>0</v>
      </c>
      <c r="D324" s="308">
        <v>0</v>
      </c>
      <c r="E324" s="308">
        <v>0</v>
      </c>
      <c r="F324" s="308">
        <v>4.5516613563950843E-4</v>
      </c>
      <c r="G324" s="308">
        <v>0</v>
      </c>
      <c r="H324" s="308">
        <v>0</v>
      </c>
      <c r="I324" s="308">
        <v>0</v>
      </c>
      <c r="J324" s="309">
        <v>6.3807793909333383E-5</v>
      </c>
      <c r="K324" s="309">
        <v>0</v>
      </c>
      <c r="L324" s="308">
        <v>0</v>
      </c>
      <c r="M324" s="308">
        <v>0</v>
      </c>
      <c r="N324" s="308">
        <v>0</v>
      </c>
      <c r="O324" s="309">
        <v>0</v>
      </c>
      <c r="P324" s="309">
        <v>0</v>
      </c>
      <c r="Q324" s="308">
        <v>0</v>
      </c>
      <c r="R324" s="309">
        <v>0</v>
      </c>
      <c r="S324" s="309">
        <v>0</v>
      </c>
      <c r="T324" s="309">
        <v>0</v>
      </c>
      <c r="U324" s="309">
        <v>6.3807793909333383E-5</v>
      </c>
      <c r="V324" s="315"/>
    </row>
    <row r="325" spans="1:22">
      <c r="A325" s="310"/>
      <c r="B325" s="311" t="s">
        <v>570</v>
      </c>
      <c r="C325" s="312">
        <v>0</v>
      </c>
      <c r="D325" s="313">
        <v>0</v>
      </c>
      <c r="E325" s="313">
        <v>0</v>
      </c>
      <c r="F325" s="313">
        <v>4.2641498706541206E-4</v>
      </c>
      <c r="G325" s="313">
        <v>0</v>
      </c>
      <c r="H325" s="313">
        <v>0</v>
      </c>
      <c r="I325" s="313">
        <v>0</v>
      </c>
      <c r="J325" s="314">
        <v>5.8147423100032952E-5</v>
      </c>
      <c r="K325" s="314">
        <v>0</v>
      </c>
      <c r="L325" s="313">
        <v>0</v>
      </c>
      <c r="M325" s="313">
        <v>0</v>
      </c>
      <c r="N325" s="313">
        <v>0</v>
      </c>
      <c r="O325" s="314">
        <v>0</v>
      </c>
      <c r="P325" s="314">
        <v>0</v>
      </c>
      <c r="Q325" s="313">
        <v>0</v>
      </c>
      <c r="R325" s="314">
        <v>0</v>
      </c>
      <c r="S325" s="314">
        <v>0</v>
      </c>
      <c r="T325" s="314">
        <v>0</v>
      </c>
      <c r="U325" s="314">
        <v>5.8147423100032952E-5</v>
      </c>
      <c r="V325" s="315"/>
    </row>
    <row r="326" spans="1:22" s="333" customFormat="1">
      <c r="A326" s="310"/>
      <c r="B326" s="316" t="s">
        <v>571</v>
      </c>
      <c r="C326" s="317">
        <v>0</v>
      </c>
      <c r="D326" s="318">
        <v>0</v>
      </c>
      <c r="E326" s="318">
        <v>0</v>
      </c>
      <c r="F326" s="318">
        <v>-2.875114857409637E-3</v>
      </c>
      <c r="G326" s="318">
        <v>0</v>
      </c>
      <c r="H326" s="318">
        <v>0</v>
      </c>
      <c r="I326" s="318">
        <v>0</v>
      </c>
      <c r="J326" s="320">
        <v>-5.6603708093004297E-4</v>
      </c>
      <c r="K326" s="320">
        <v>0</v>
      </c>
      <c r="L326" s="318">
        <v>0</v>
      </c>
      <c r="M326" s="318">
        <v>0</v>
      </c>
      <c r="N326" s="318">
        <v>0</v>
      </c>
      <c r="O326" s="320">
        <v>0</v>
      </c>
      <c r="P326" s="320">
        <v>0</v>
      </c>
      <c r="Q326" s="318">
        <v>0</v>
      </c>
      <c r="R326" s="320">
        <v>0</v>
      </c>
      <c r="S326" s="320">
        <v>0</v>
      </c>
      <c r="T326" s="320">
        <v>0</v>
      </c>
      <c r="U326" s="320">
        <v>-5.6603708093004297E-4</v>
      </c>
      <c r="V326" s="315"/>
    </row>
    <row r="327" spans="1:22">
      <c r="A327" s="310"/>
      <c r="B327" s="55" t="s">
        <v>572</v>
      </c>
      <c r="C327" s="307">
        <v>4.8714573196545903E-4</v>
      </c>
      <c r="D327" s="308">
        <v>0</v>
      </c>
      <c r="E327" s="308">
        <v>0</v>
      </c>
      <c r="F327" s="308">
        <v>1.5475648611743287E-3</v>
      </c>
      <c r="G327" s="308">
        <v>0</v>
      </c>
      <c r="H327" s="308">
        <v>0</v>
      </c>
      <c r="I327" s="308">
        <v>0</v>
      </c>
      <c r="J327" s="309">
        <v>5.7427014518400044E-4</v>
      </c>
      <c r="K327" s="309">
        <v>0</v>
      </c>
      <c r="L327" s="308">
        <v>0</v>
      </c>
      <c r="M327" s="308">
        <v>0</v>
      </c>
      <c r="N327" s="308">
        <v>0</v>
      </c>
      <c r="O327" s="309">
        <v>0</v>
      </c>
      <c r="P327" s="309">
        <v>0</v>
      </c>
      <c r="Q327" s="308">
        <v>0</v>
      </c>
      <c r="R327" s="309">
        <v>0</v>
      </c>
      <c r="S327" s="309">
        <v>0</v>
      </c>
      <c r="T327" s="309">
        <v>0</v>
      </c>
      <c r="U327" s="309">
        <v>5.7427014518400044E-4</v>
      </c>
      <c r="V327" s="315"/>
    </row>
    <row r="328" spans="1:22">
      <c r="A328" s="310"/>
      <c r="B328" s="311" t="s">
        <v>573</v>
      </c>
      <c r="C328" s="312">
        <v>2.8672160394189111E-4</v>
      </c>
      <c r="D328" s="313">
        <v>0</v>
      </c>
      <c r="E328" s="313">
        <v>0</v>
      </c>
      <c r="F328" s="313">
        <v>3.5818858913494612E-3</v>
      </c>
      <c r="G328" s="313">
        <v>0</v>
      </c>
      <c r="H328" s="313">
        <v>0</v>
      </c>
      <c r="I328" s="313">
        <v>0</v>
      </c>
      <c r="J328" s="314">
        <v>6.9776907720039538E-4</v>
      </c>
      <c r="K328" s="314">
        <v>0</v>
      </c>
      <c r="L328" s="313">
        <v>0</v>
      </c>
      <c r="M328" s="313">
        <v>0</v>
      </c>
      <c r="N328" s="313">
        <v>0</v>
      </c>
      <c r="O328" s="314">
        <v>0</v>
      </c>
      <c r="P328" s="314">
        <v>0</v>
      </c>
      <c r="Q328" s="313">
        <v>0</v>
      </c>
      <c r="R328" s="314">
        <v>0</v>
      </c>
      <c r="S328" s="314">
        <v>0</v>
      </c>
      <c r="T328" s="314">
        <v>0</v>
      </c>
      <c r="U328" s="314">
        <v>6.9776907720039538E-4</v>
      </c>
      <c r="V328" s="315"/>
    </row>
    <row r="329" spans="1:22" s="333" customFormat="1" ht="15" thickBot="1">
      <c r="A329" s="326"/>
      <c r="B329" s="327" t="s">
        <v>574</v>
      </c>
      <c r="C329" s="328">
        <v>-2.0042412802356791E-2</v>
      </c>
      <c r="D329" s="329">
        <v>0</v>
      </c>
      <c r="E329" s="329">
        <v>0</v>
      </c>
      <c r="F329" s="329">
        <v>0.20343210301751327</v>
      </c>
      <c r="G329" s="329">
        <v>0</v>
      </c>
      <c r="H329" s="329">
        <v>0</v>
      </c>
      <c r="I329" s="329">
        <v>0</v>
      </c>
      <c r="J329" s="330">
        <v>1.2349893201639494E-2</v>
      </c>
      <c r="K329" s="330">
        <v>0</v>
      </c>
      <c r="L329" s="329">
        <v>0</v>
      </c>
      <c r="M329" s="329">
        <v>0</v>
      </c>
      <c r="N329" s="329">
        <v>0</v>
      </c>
      <c r="O329" s="330">
        <v>0</v>
      </c>
      <c r="P329" s="330">
        <v>0</v>
      </c>
      <c r="Q329" s="329">
        <v>0</v>
      </c>
      <c r="R329" s="330">
        <v>0</v>
      </c>
      <c r="S329" s="330">
        <v>0</v>
      </c>
      <c r="T329" s="330">
        <v>0</v>
      </c>
      <c r="U329" s="330">
        <v>1.2349893201639494E-2</v>
      </c>
      <c r="V329" s="315"/>
    </row>
    <row r="330" spans="1:22">
      <c r="A330" s="306" t="s">
        <v>280</v>
      </c>
      <c r="B330" s="55" t="s">
        <v>539</v>
      </c>
      <c r="C330" s="307">
        <v>0.84154744216455479</v>
      </c>
      <c r="D330" s="308">
        <v>0.75902077530791812</v>
      </c>
      <c r="E330" s="308">
        <v>0.81253524718568981</v>
      </c>
      <c r="F330" s="308">
        <v>0.54717383339439762</v>
      </c>
      <c r="G330" s="308">
        <v>0.70351329040779265</v>
      </c>
      <c r="H330" s="308">
        <v>0.90528778339697935</v>
      </c>
      <c r="I330" s="308">
        <v>0.97419542952946747</v>
      </c>
      <c r="J330" s="309">
        <v>0.80899963958632692</v>
      </c>
      <c r="K330" s="309">
        <v>0</v>
      </c>
      <c r="L330" s="308">
        <v>0.5336019257184148</v>
      </c>
      <c r="M330" s="308">
        <v>0.48912926962682285</v>
      </c>
      <c r="N330" s="308">
        <v>0.4453916771807177</v>
      </c>
      <c r="O330" s="309">
        <v>0.50216193951742882</v>
      </c>
      <c r="P330" s="309">
        <v>0</v>
      </c>
      <c r="Q330" s="308">
        <v>0</v>
      </c>
      <c r="R330" s="309">
        <v>0</v>
      </c>
      <c r="S330" s="309">
        <v>0</v>
      </c>
      <c r="T330" s="309">
        <v>0</v>
      </c>
      <c r="U330" s="309">
        <v>0.66915006665064114</v>
      </c>
      <c r="V330" s="315"/>
    </row>
    <row r="331" spans="1:22">
      <c r="A331" s="310"/>
      <c r="B331" s="311" t="s">
        <v>540</v>
      </c>
      <c r="C331" s="312">
        <v>0.48036893919795648</v>
      </c>
      <c r="D331" s="313">
        <v>0.48528882234772391</v>
      </c>
      <c r="E331" s="313">
        <v>0.45076167490026237</v>
      </c>
      <c r="F331" s="313">
        <v>0.37005324075616536</v>
      </c>
      <c r="G331" s="313">
        <v>0.47171870736366117</v>
      </c>
      <c r="H331" s="313">
        <v>0.64257884340303795</v>
      </c>
      <c r="I331" s="313">
        <v>0.8084811737405494</v>
      </c>
      <c r="J331" s="314">
        <v>0.47397805377145097</v>
      </c>
      <c r="K331" s="314">
        <v>0</v>
      </c>
      <c r="L331" s="313">
        <v>0.33276157353208125</v>
      </c>
      <c r="M331" s="313">
        <v>0.31013517504079313</v>
      </c>
      <c r="N331" s="313">
        <v>0.30725313579981978</v>
      </c>
      <c r="O331" s="314">
        <v>0.32011794498311885</v>
      </c>
      <c r="P331" s="314">
        <v>0</v>
      </c>
      <c r="Q331" s="313">
        <v>0</v>
      </c>
      <c r="R331" s="314">
        <v>0</v>
      </c>
      <c r="S331" s="314">
        <v>0</v>
      </c>
      <c r="T331" s="314">
        <v>0</v>
      </c>
      <c r="U331" s="314">
        <v>0.4043069910035853</v>
      </c>
      <c r="V331" s="315"/>
    </row>
    <row r="332" spans="1:22">
      <c r="A332" s="310"/>
      <c r="B332" s="316" t="s">
        <v>541</v>
      </c>
      <c r="C332" s="317">
        <v>-36.117850296659832</v>
      </c>
      <c r="D332" s="318">
        <v>-27.373195296019421</v>
      </c>
      <c r="E332" s="318">
        <v>-36.177357228542746</v>
      </c>
      <c r="F332" s="318">
        <v>-17.712059263823228</v>
      </c>
      <c r="G332" s="318">
        <v>-23.179458304413146</v>
      </c>
      <c r="H332" s="318">
        <v>-26.27089399939414</v>
      </c>
      <c r="I332" s="318">
        <v>-16.571425578891809</v>
      </c>
      <c r="J332" s="320">
        <v>-33.502158581487592</v>
      </c>
      <c r="K332" s="320">
        <v>0</v>
      </c>
      <c r="L332" s="318">
        <v>-20.084035218633357</v>
      </c>
      <c r="M332" s="318">
        <v>-17.899409458602971</v>
      </c>
      <c r="N332" s="318">
        <v>-13.813854138089793</v>
      </c>
      <c r="O332" s="320">
        <v>-18.204399453430998</v>
      </c>
      <c r="P332" s="320">
        <v>0</v>
      </c>
      <c r="Q332" s="318">
        <v>0</v>
      </c>
      <c r="R332" s="320">
        <v>0</v>
      </c>
      <c r="S332" s="320">
        <v>0</v>
      </c>
      <c r="T332" s="320">
        <v>0</v>
      </c>
      <c r="U332" s="320">
        <v>-26.484307564705585</v>
      </c>
      <c r="V332" s="315"/>
    </row>
    <row r="333" spans="1:22">
      <c r="A333" s="310"/>
      <c r="B333" s="55" t="s">
        <v>542</v>
      </c>
      <c r="C333" s="307">
        <v>8.6306037101195644E-3</v>
      </c>
      <c r="D333" s="308">
        <v>8.712779262743239E-3</v>
      </c>
      <c r="E333" s="308">
        <v>7.6922292251083825E-3</v>
      </c>
      <c r="F333" s="308">
        <v>3.2441794624121505E-3</v>
      </c>
      <c r="G333" s="308">
        <v>4.1307578008915307E-3</v>
      </c>
      <c r="H333" s="308">
        <v>6.5022190112498709E-3</v>
      </c>
      <c r="I333" s="308">
        <v>0</v>
      </c>
      <c r="J333" s="309">
        <v>7.8391131138824816E-3</v>
      </c>
      <c r="K333" s="309">
        <v>0</v>
      </c>
      <c r="L333" s="308">
        <v>2.7691838419148306E-2</v>
      </c>
      <c r="M333" s="308">
        <v>4.7536092331684994E-2</v>
      </c>
      <c r="N333" s="308">
        <v>5.020889745362464E-2</v>
      </c>
      <c r="O333" s="309">
        <v>3.8782477732807845E-2</v>
      </c>
      <c r="P333" s="309">
        <v>0</v>
      </c>
      <c r="Q333" s="308">
        <v>0</v>
      </c>
      <c r="R333" s="309">
        <v>0</v>
      </c>
      <c r="S333" s="309">
        <v>0</v>
      </c>
      <c r="T333" s="309">
        <v>0</v>
      </c>
      <c r="U333" s="309">
        <v>2.1942387666449629E-2</v>
      </c>
      <c r="V333" s="315"/>
    </row>
    <row r="334" spans="1:22">
      <c r="A334" s="310"/>
      <c r="B334" s="311" t="s">
        <v>543</v>
      </c>
      <c r="C334" s="312">
        <v>3.4991373357424107E-3</v>
      </c>
      <c r="D334" s="313">
        <v>3.4333977687652402E-3</v>
      </c>
      <c r="E334" s="313">
        <v>2.8667218905966262E-2</v>
      </c>
      <c r="F334" s="313">
        <v>1.4659532360917686E-3</v>
      </c>
      <c r="G334" s="313">
        <v>3.1315375719538976E-3</v>
      </c>
      <c r="H334" s="313">
        <v>3.6714120291533275E-3</v>
      </c>
      <c r="I334" s="313">
        <v>0</v>
      </c>
      <c r="J334" s="314">
        <v>1.1403720156059787E-2</v>
      </c>
      <c r="K334" s="314">
        <v>0</v>
      </c>
      <c r="L334" s="313">
        <v>2.049294910628251E-2</v>
      </c>
      <c r="M334" s="313">
        <v>5.5499057718580734E-2</v>
      </c>
      <c r="N334" s="313">
        <v>5.0564951724745788E-2</v>
      </c>
      <c r="O334" s="314">
        <v>3.8424795890363357E-2</v>
      </c>
      <c r="P334" s="314">
        <v>0</v>
      </c>
      <c r="Q334" s="313">
        <v>0</v>
      </c>
      <c r="R334" s="314">
        <v>0</v>
      </c>
      <c r="S334" s="314">
        <v>0</v>
      </c>
      <c r="T334" s="314">
        <v>0</v>
      </c>
      <c r="U334" s="314">
        <v>2.3639426203361621E-2</v>
      </c>
      <c r="V334" s="315"/>
    </row>
    <row r="335" spans="1:22">
      <c r="A335" s="310"/>
      <c r="B335" s="316" t="s">
        <v>544</v>
      </c>
      <c r="C335" s="317">
        <v>-0.51314663743771538</v>
      </c>
      <c r="D335" s="318">
        <v>-0.52793814939779993</v>
      </c>
      <c r="E335" s="318">
        <v>2.0974989680857878</v>
      </c>
      <c r="F335" s="318">
        <v>-0.17782262263203819</v>
      </c>
      <c r="G335" s="318">
        <v>-9.9922022893763313E-2</v>
      </c>
      <c r="H335" s="318">
        <v>-0.28308069820965431</v>
      </c>
      <c r="I335" s="318">
        <v>0</v>
      </c>
      <c r="J335" s="320">
        <v>0.35646070421773057</v>
      </c>
      <c r="K335" s="320">
        <v>0</v>
      </c>
      <c r="L335" s="318">
        <v>-0.7198889312865796</v>
      </c>
      <c r="M335" s="318">
        <v>0.79629653868957395</v>
      </c>
      <c r="N335" s="318">
        <v>3.5605427112114785E-2</v>
      </c>
      <c r="O335" s="320">
        <v>-3.5768184244448775E-2</v>
      </c>
      <c r="P335" s="320">
        <v>0</v>
      </c>
      <c r="Q335" s="318">
        <v>0</v>
      </c>
      <c r="R335" s="320">
        <v>0</v>
      </c>
      <c r="S335" s="320">
        <v>0</v>
      </c>
      <c r="T335" s="320">
        <v>0</v>
      </c>
      <c r="U335" s="320">
        <v>0.1697038536911992</v>
      </c>
      <c r="V335" s="315"/>
    </row>
    <row r="336" spans="1:22">
      <c r="A336" s="310"/>
      <c r="B336" s="55" t="s">
        <v>545</v>
      </c>
      <c r="C336" s="307">
        <v>0.14976943565805434</v>
      </c>
      <c r="D336" s="308">
        <v>0.23102042598582126</v>
      </c>
      <c r="E336" s="308">
        <v>0.17970432438340195</v>
      </c>
      <c r="F336" s="308">
        <v>0.4495819871431902</v>
      </c>
      <c r="G336" s="308">
        <v>0.26282317979197622</v>
      </c>
      <c r="H336" s="308">
        <v>7.1909725805896718E-2</v>
      </c>
      <c r="I336" s="308">
        <v>2.5804570470532494E-2</v>
      </c>
      <c r="J336" s="309">
        <v>0.18087341203429863</v>
      </c>
      <c r="K336" s="309">
        <v>0</v>
      </c>
      <c r="L336" s="308">
        <v>0.43848924278218437</v>
      </c>
      <c r="M336" s="308">
        <v>0.46124097959693705</v>
      </c>
      <c r="N336" s="308">
        <v>0.50057824640203996</v>
      </c>
      <c r="O336" s="309">
        <v>0.45753248602372487</v>
      </c>
      <c r="P336" s="309">
        <v>0</v>
      </c>
      <c r="Q336" s="308">
        <v>0</v>
      </c>
      <c r="R336" s="309">
        <v>0</v>
      </c>
      <c r="S336" s="309">
        <v>0</v>
      </c>
      <c r="T336" s="309">
        <v>0</v>
      </c>
      <c r="U336" s="309">
        <v>0.30696826067094224</v>
      </c>
      <c r="V336" s="315"/>
    </row>
    <row r="337" spans="1:22">
      <c r="A337" s="310"/>
      <c r="B337" s="311" t="s">
        <v>546</v>
      </c>
      <c r="C337" s="312">
        <v>0.51610422043465243</v>
      </c>
      <c r="D337" s="313">
        <v>0.51052761247773182</v>
      </c>
      <c r="E337" s="313">
        <v>0.52047938678363681</v>
      </c>
      <c r="F337" s="313">
        <v>0.62828090329373043</v>
      </c>
      <c r="G337" s="313">
        <v>0.50584402084226665</v>
      </c>
      <c r="H337" s="313">
        <v>0.33897554662488932</v>
      </c>
      <c r="I337" s="313">
        <v>0.19151882625945055</v>
      </c>
      <c r="J337" s="314">
        <v>0.51299630170434096</v>
      </c>
      <c r="K337" s="314">
        <v>0</v>
      </c>
      <c r="L337" s="313">
        <v>0.64674547736163623</v>
      </c>
      <c r="M337" s="313">
        <v>0.6343657672406261</v>
      </c>
      <c r="N337" s="313">
        <v>0.64218191247543444</v>
      </c>
      <c r="O337" s="314">
        <v>0.64145725912651785</v>
      </c>
      <c r="P337" s="314">
        <v>0</v>
      </c>
      <c r="Q337" s="313">
        <v>0</v>
      </c>
      <c r="R337" s="314">
        <v>0</v>
      </c>
      <c r="S337" s="314">
        <v>0</v>
      </c>
      <c r="T337" s="314">
        <v>0</v>
      </c>
      <c r="U337" s="314">
        <v>0.57116609956983755</v>
      </c>
      <c r="V337" s="315"/>
    </row>
    <row r="338" spans="1:22">
      <c r="A338" s="310"/>
      <c r="B338" s="316" t="s">
        <v>547</v>
      </c>
      <c r="C338" s="317">
        <v>36.633478477659807</v>
      </c>
      <c r="D338" s="318">
        <v>27.950718649191053</v>
      </c>
      <c r="E338" s="318">
        <v>34.077506240023489</v>
      </c>
      <c r="F338" s="318">
        <v>17.869891615054023</v>
      </c>
      <c r="G338" s="318">
        <v>24.302084105029042</v>
      </c>
      <c r="H338" s="318">
        <v>26.70658208189926</v>
      </c>
      <c r="I338" s="318">
        <v>16.571425578891805</v>
      </c>
      <c r="J338" s="320">
        <v>33.212288967004234</v>
      </c>
      <c r="K338" s="320">
        <v>0</v>
      </c>
      <c r="L338" s="318">
        <v>20.825623457945184</v>
      </c>
      <c r="M338" s="318">
        <v>17.312478764368905</v>
      </c>
      <c r="N338" s="318">
        <v>14.160366607339448</v>
      </c>
      <c r="O338" s="320">
        <v>18.392477310279297</v>
      </c>
      <c r="P338" s="320">
        <v>0</v>
      </c>
      <c r="Q338" s="318">
        <v>0</v>
      </c>
      <c r="R338" s="320">
        <v>0</v>
      </c>
      <c r="S338" s="320">
        <v>0</v>
      </c>
      <c r="T338" s="320">
        <v>0</v>
      </c>
      <c r="U338" s="320">
        <v>26.41978388988953</v>
      </c>
      <c r="V338" s="315"/>
    </row>
    <row r="339" spans="1:22">
      <c r="A339" s="310"/>
      <c r="B339" s="55" t="s">
        <v>548</v>
      </c>
      <c r="C339" s="307">
        <v>5.2518467271276903E-5</v>
      </c>
      <c r="D339" s="308">
        <v>1.2460194435174241E-3</v>
      </c>
      <c r="E339" s="308">
        <v>6.8199205799846988E-5</v>
      </c>
      <c r="F339" s="308">
        <v>0</v>
      </c>
      <c r="G339" s="308">
        <v>5.8444774640911343E-4</v>
      </c>
      <c r="H339" s="308">
        <v>1.6300271785874017E-2</v>
      </c>
      <c r="I339" s="308">
        <v>0</v>
      </c>
      <c r="J339" s="309">
        <v>6.6453874780273109E-4</v>
      </c>
      <c r="K339" s="309">
        <v>0</v>
      </c>
      <c r="L339" s="308">
        <v>2.1699308025246384E-4</v>
      </c>
      <c r="M339" s="308">
        <v>2.0936584445551097E-3</v>
      </c>
      <c r="N339" s="308">
        <v>3.8211789636176871E-3</v>
      </c>
      <c r="O339" s="309">
        <v>1.5230967260384761E-3</v>
      </c>
      <c r="P339" s="309">
        <v>0</v>
      </c>
      <c r="Q339" s="308">
        <v>0</v>
      </c>
      <c r="R339" s="309">
        <v>0</v>
      </c>
      <c r="S339" s="309">
        <v>0</v>
      </c>
      <c r="T339" s="309">
        <v>0</v>
      </c>
      <c r="U339" s="309">
        <v>1.0558497456684892E-3</v>
      </c>
      <c r="V339" s="315"/>
    </row>
    <row r="340" spans="1:22">
      <c r="A340" s="310"/>
      <c r="B340" s="311" t="s">
        <v>549</v>
      </c>
      <c r="C340" s="312">
        <v>2.7703031648676669E-5</v>
      </c>
      <c r="D340" s="313">
        <v>7.5016740577897383E-4</v>
      </c>
      <c r="E340" s="313">
        <v>9.1719410134591023E-5</v>
      </c>
      <c r="F340" s="313">
        <v>1.9990271401251392E-4</v>
      </c>
      <c r="G340" s="313">
        <v>7.1466625086084805E-5</v>
      </c>
      <c r="H340" s="313">
        <v>1.4774197942919419E-2</v>
      </c>
      <c r="I340" s="313">
        <v>0</v>
      </c>
      <c r="J340" s="314">
        <v>5.3605664044518921E-4</v>
      </c>
      <c r="K340" s="314">
        <v>0</v>
      </c>
      <c r="L340" s="313">
        <v>0</v>
      </c>
      <c r="M340" s="313">
        <v>0</v>
      </c>
      <c r="N340" s="313">
        <v>0</v>
      </c>
      <c r="O340" s="314">
        <v>0</v>
      </c>
      <c r="P340" s="314">
        <v>0</v>
      </c>
      <c r="Q340" s="313">
        <v>0</v>
      </c>
      <c r="R340" s="314">
        <v>0</v>
      </c>
      <c r="S340" s="314">
        <v>0</v>
      </c>
      <c r="T340" s="314">
        <v>0</v>
      </c>
      <c r="U340" s="314">
        <v>2.933190254928452E-4</v>
      </c>
      <c r="V340" s="315"/>
    </row>
    <row r="341" spans="1:22">
      <c r="A341" s="310"/>
      <c r="B341" s="316" t="s">
        <v>550</v>
      </c>
      <c r="C341" s="317">
        <v>-2.4815435622600234E-3</v>
      </c>
      <c r="D341" s="318">
        <v>-4.9585203773845024E-2</v>
      </c>
      <c r="E341" s="318">
        <v>2.3520204334744037E-3</v>
      </c>
      <c r="F341" s="318">
        <v>0</v>
      </c>
      <c r="G341" s="318">
        <v>-5.1298112132302856E-2</v>
      </c>
      <c r="H341" s="318">
        <v>-0.15260738429545978</v>
      </c>
      <c r="I341" s="318">
        <v>0</v>
      </c>
      <c r="J341" s="320">
        <v>-1.2848210735754187E-2</v>
      </c>
      <c r="K341" s="320">
        <v>0</v>
      </c>
      <c r="L341" s="318">
        <v>-2.1699308025246385E-2</v>
      </c>
      <c r="M341" s="318">
        <v>-0.20936584445551099</v>
      </c>
      <c r="N341" s="318">
        <v>-0.38211789636176874</v>
      </c>
      <c r="O341" s="320">
        <v>-0.15230967260384762</v>
      </c>
      <c r="P341" s="320">
        <v>0</v>
      </c>
      <c r="Q341" s="318">
        <v>0</v>
      </c>
      <c r="R341" s="320">
        <v>0</v>
      </c>
      <c r="S341" s="320">
        <v>0</v>
      </c>
      <c r="T341" s="320">
        <v>0</v>
      </c>
      <c r="U341" s="320">
        <v>-7.6253072017564399E-2</v>
      </c>
      <c r="V341" s="315"/>
    </row>
    <row r="342" spans="1:22">
      <c r="A342" s="310"/>
      <c r="B342" s="55" t="s">
        <v>551</v>
      </c>
      <c r="C342" s="307">
        <v>0</v>
      </c>
      <c r="D342" s="308">
        <v>0</v>
      </c>
      <c r="E342" s="308">
        <v>0</v>
      </c>
      <c r="F342" s="308">
        <v>0</v>
      </c>
      <c r="G342" s="308">
        <v>2.8948324252930493E-2</v>
      </c>
      <c r="H342" s="308">
        <v>0</v>
      </c>
      <c r="I342" s="308">
        <v>0</v>
      </c>
      <c r="J342" s="309">
        <v>1.6232965176892012E-3</v>
      </c>
      <c r="K342" s="309">
        <v>0</v>
      </c>
      <c r="L342" s="308">
        <v>0</v>
      </c>
      <c r="M342" s="308">
        <v>0</v>
      </c>
      <c r="N342" s="308">
        <v>0</v>
      </c>
      <c r="O342" s="309">
        <v>0</v>
      </c>
      <c r="P342" s="309">
        <v>0</v>
      </c>
      <c r="Q342" s="308">
        <v>0</v>
      </c>
      <c r="R342" s="309">
        <v>0</v>
      </c>
      <c r="S342" s="309">
        <v>0</v>
      </c>
      <c r="T342" s="309">
        <v>0</v>
      </c>
      <c r="U342" s="309">
        <v>8.834352662984964E-4</v>
      </c>
      <c r="V342" s="315"/>
    </row>
    <row r="343" spans="1:22">
      <c r="A343" s="310"/>
      <c r="B343" s="311" t="s">
        <v>552</v>
      </c>
      <c r="C343" s="312">
        <v>0</v>
      </c>
      <c r="D343" s="313">
        <v>0</v>
      </c>
      <c r="E343" s="313">
        <v>0</v>
      </c>
      <c r="F343" s="313">
        <v>0</v>
      </c>
      <c r="G343" s="313">
        <v>1.9234267597032187E-2</v>
      </c>
      <c r="H343" s="313">
        <v>0</v>
      </c>
      <c r="I343" s="313">
        <v>0</v>
      </c>
      <c r="J343" s="314">
        <v>1.0858677277030332E-3</v>
      </c>
      <c r="K343" s="314">
        <v>0</v>
      </c>
      <c r="L343" s="313">
        <v>0</v>
      </c>
      <c r="M343" s="313">
        <v>0</v>
      </c>
      <c r="N343" s="313">
        <v>0</v>
      </c>
      <c r="O343" s="314">
        <v>0</v>
      </c>
      <c r="P343" s="314">
        <v>0</v>
      </c>
      <c r="Q343" s="313">
        <v>0</v>
      </c>
      <c r="R343" s="314">
        <v>0</v>
      </c>
      <c r="S343" s="314">
        <v>0</v>
      </c>
      <c r="T343" s="314">
        <v>0</v>
      </c>
      <c r="U343" s="314">
        <v>5.9416419772259199E-4</v>
      </c>
      <c r="V343" s="315"/>
    </row>
    <row r="344" spans="1:22">
      <c r="A344" s="310"/>
      <c r="B344" s="316" t="s">
        <v>553</v>
      </c>
      <c r="C344" s="317">
        <v>0</v>
      </c>
      <c r="D344" s="318">
        <v>0</v>
      </c>
      <c r="E344" s="318">
        <v>0</v>
      </c>
      <c r="F344" s="318">
        <v>0</v>
      </c>
      <c r="G344" s="318">
        <v>-0.97140566558983066</v>
      </c>
      <c r="H344" s="318">
        <v>0</v>
      </c>
      <c r="I344" s="318">
        <v>0</v>
      </c>
      <c r="J344" s="320">
        <v>-5.3742878998616801E-2</v>
      </c>
      <c r="K344" s="320">
        <v>0</v>
      </c>
      <c r="L344" s="318">
        <v>0</v>
      </c>
      <c r="M344" s="318">
        <v>0</v>
      </c>
      <c r="N344" s="318">
        <v>0</v>
      </c>
      <c r="O344" s="320">
        <v>0</v>
      </c>
      <c r="P344" s="320">
        <v>0</v>
      </c>
      <c r="Q344" s="318">
        <v>0</v>
      </c>
      <c r="R344" s="320">
        <v>0</v>
      </c>
      <c r="S344" s="320">
        <v>0</v>
      </c>
      <c r="T344" s="320">
        <v>0</v>
      </c>
      <c r="U344" s="320">
        <v>-2.8927106857590441E-2</v>
      </c>
      <c r="V344" s="315"/>
    </row>
    <row r="345" spans="1:22">
      <c r="A345" s="310"/>
      <c r="B345" s="55" t="s">
        <v>554</v>
      </c>
      <c r="C345" s="307">
        <v>0</v>
      </c>
      <c r="D345" s="308">
        <v>0</v>
      </c>
      <c r="E345" s="308">
        <v>0</v>
      </c>
      <c r="F345" s="308">
        <v>0</v>
      </c>
      <c r="G345" s="308">
        <v>0</v>
      </c>
      <c r="H345" s="308">
        <v>0</v>
      </c>
      <c r="I345" s="308">
        <v>0</v>
      </c>
      <c r="J345" s="309">
        <v>0</v>
      </c>
      <c r="K345" s="309">
        <v>0</v>
      </c>
      <c r="L345" s="308">
        <v>0</v>
      </c>
      <c r="M345" s="308">
        <v>0</v>
      </c>
      <c r="N345" s="308">
        <v>0</v>
      </c>
      <c r="O345" s="309">
        <v>0</v>
      </c>
      <c r="P345" s="309">
        <v>0</v>
      </c>
      <c r="Q345" s="308">
        <v>0</v>
      </c>
      <c r="R345" s="309">
        <v>0</v>
      </c>
      <c r="S345" s="309">
        <v>0</v>
      </c>
      <c r="T345" s="309">
        <v>0</v>
      </c>
      <c r="U345" s="309">
        <v>0</v>
      </c>
      <c r="V345" s="315"/>
    </row>
    <row r="346" spans="1:22">
      <c r="A346" s="310"/>
      <c r="B346" s="311" t="s">
        <v>555</v>
      </c>
      <c r="C346" s="312">
        <v>0</v>
      </c>
      <c r="D346" s="313">
        <v>0</v>
      </c>
      <c r="E346" s="313">
        <v>0</v>
      </c>
      <c r="F346" s="313">
        <v>0</v>
      </c>
      <c r="G346" s="313">
        <v>0</v>
      </c>
      <c r="H346" s="313">
        <v>0</v>
      </c>
      <c r="I346" s="313">
        <v>0</v>
      </c>
      <c r="J346" s="314">
        <v>0</v>
      </c>
      <c r="K346" s="314">
        <v>0</v>
      </c>
      <c r="L346" s="313">
        <v>0</v>
      </c>
      <c r="M346" s="313">
        <v>0</v>
      </c>
      <c r="N346" s="313">
        <v>0</v>
      </c>
      <c r="O346" s="314">
        <v>0</v>
      </c>
      <c r="P346" s="314">
        <v>0</v>
      </c>
      <c r="Q346" s="313">
        <v>0</v>
      </c>
      <c r="R346" s="314">
        <v>0</v>
      </c>
      <c r="S346" s="314">
        <v>0</v>
      </c>
      <c r="T346" s="314">
        <v>0</v>
      </c>
      <c r="U346" s="314">
        <v>0</v>
      </c>
      <c r="V346" s="315"/>
    </row>
    <row r="347" spans="1:22" ht="15" thickBot="1">
      <c r="A347" s="310"/>
      <c r="B347" s="322" t="s">
        <v>556</v>
      </c>
      <c r="C347" s="323">
        <v>0</v>
      </c>
      <c r="D347" s="324">
        <v>0</v>
      </c>
      <c r="E347" s="324">
        <v>0</v>
      </c>
      <c r="F347" s="324">
        <v>0</v>
      </c>
      <c r="G347" s="324">
        <v>0</v>
      </c>
      <c r="H347" s="324">
        <v>0</v>
      </c>
      <c r="I347" s="324">
        <v>0</v>
      </c>
      <c r="J347" s="325">
        <v>0</v>
      </c>
      <c r="K347" s="325">
        <v>0</v>
      </c>
      <c r="L347" s="324">
        <v>0</v>
      </c>
      <c r="M347" s="324">
        <v>0</v>
      </c>
      <c r="N347" s="324">
        <v>0</v>
      </c>
      <c r="O347" s="325">
        <v>0</v>
      </c>
      <c r="P347" s="325">
        <v>0</v>
      </c>
      <c r="Q347" s="324">
        <v>0</v>
      </c>
      <c r="R347" s="325">
        <v>0</v>
      </c>
      <c r="S347" s="325">
        <v>0</v>
      </c>
      <c r="T347" s="325">
        <v>0</v>
      </c>
      <c r="U347" s="325">
        <v>0</v>
      </c>
      <c r="V347" s="315"/>
    </row>
    <row r="348" spans="1:22" ht="15" thickTop="1">
      <c r="A348" s="310"/>
      <c r="B348" s="311" t="s">
        <v>557</v>
      </c>
      <c r="C348" s="312">
        <v>0.78418634572085588</v>
      </c>
      <c r="D348" s="313">
        <v>0.36381258243963982</v>
      </c>
      <c r="E348" s="313">
        <v>0.51753538142906452</v>
      </c>
      <c r="F348" s="313">
        <v>0.33289161668294043</v>
      </c>
      <c r="G348" s="313">
        <v>0.34362945998071359</v>
      </c>
      <c r="H348" s="313">
        <v>0.42470506592643997</v>
      </c>
      <c r="I348" s="313">
        <v>0.99686028257456827</v>
      </c>
      <c r="J348" s="314">
        <v>0.65981301132057379</v>
      </c>
      <c r="K348" s="314">
        <v>0</v>
      </c>
      <c r="L348" s="313">
        <v>0</v>
      </c>
      <c r="M348" s="313">
        <v>0</v>
      </c>
      <c r="N348" s="313">
        <v>0</v>
      </c>
      <c r="O348" s="314">
        <v>0</v>
      </c>
      <c r="P348" s="314">
        <v>0</v>
      </c>
      <c r="Q348" s="313">
        <v>0</v>
      </c>
      <c r="R348" s="314">
        <v>0</v>
      </c>
      <c r="S348" s="314">
        <v>0</v>
      </c>
      <c r="T348" s="314">
        <v>0</v>
      </c>
      <c r="U348" s="314">
        <v>0.65981301132057379</v>
      </c>
      <c r="V348" s="315"/>
    </row>
    <row r="349" spans="1:22">
      <c r="A349" s="310"/>
      <c r="B349" s="311" t="s">
        <v>558</v>
      </c>
      <c r="C349" s="312">
        <v>0.52042528724430626</v>
      </c>
      <c r="D349" s="313">
        <v>0.26742899299151607</v>
      </c>
      <c r="E349" s="313">
        <v>0.28886505789874062</v>
      </c>
      <c r="F349" s="313">
        <v>0.21893659368780211</v>
      </c>
      <c r="G349" s="313">
        <v>0.16336122047244095</v>
      </c>
      <c r="H349" s="313">
        <v>0.32489451476793246</v>
      </c>
      <c r="I349" s="313">
        <v>0.87745098039215685</v>
      </c>
      <c r="J349" s="314">
        <v>0.42071126283055482</v>
      </c>
      <c r="K349" s="314">
        <v>0</v>
      </c>
      <c r="L349" s="313">
        <v>0</v>
      </c>
      <c r="M349" s="313">
        <v>0</v>
      </c>
      <c r="N349" s="313">
        <v>0</v>
      </c>
      <c r="O349" s="314">
        <v>0</v>
      </c>
      <c r="P349" s="314">
        <v>0</v>
      </c>
      <c r="Q349" s="313">
        <v>0</v>
      </c>
      <c r="R349" s="314">
        <v>0</v>
      </c>
      <c r="S349" s="314">
        <v>0</v>
      </c>
      <c r="T349" s="314">
        <v>0</v>
      </c>
      <c r="U349" s="314">
        <v>0.42071126283055482</v>
      </c>
      <c r="V349" s="315"/>
    </row>
    <row r="350" spans="1:22">
      <c r="A350" s="310"/>
      <c r="B350" s="316" t="s">
        <v>559</v>
      </c>
      <c r="C350" s="317">
        <v>-26.376105847654962</v>
      </c>
      <c r="D350" s="318">
        <v>-9.6383589448123743</v>
      </c>
      <c r="E350" s="318">
        <v>-22.867032353032389</v>
      </c>
      <c r="F350" s="318">
        <v>-11.395502299513833</v>
      </c>
      <c r="G350" s="318">
        <v>-18.026823950827264</v>
      </c>
      <c r="H350" s="318">
        <v>-9.9810551158507508</v>
      </c>
      <c r="I350" s="318">
        <v>-11.940930218241142</v>
      </c>
      <c r="J350" s="320">
        <v>-23.910174849001898</v>
      </c>
      <c r="K350" s="320">
        <v>0</v>
      </c>
      <c r="L350" s="318">
        <v>0</v>
      </c>
      <c r="M350" s="318">
        <v>0</v>
      </c>
      <c r="N350" s="318">
        <v>0</v>
      </c>
      <c r="O350" s="320">
        <v>0</v>
      </c>
      <c r="P350" s="320">
        <v>0</v>
      </c>
      <c r="Q350" s="318">
        <v>0</v>
      </c>
      <c r="R350" s="320">
        <v>0</v>
      </c>
      <c r="S350" s="320">
        <v>0</v>
      </c>
      <c r="T350" s="320">
        <v>0</v>
      </c>
      <c r="U350" s="320">
        <v>-23.910174849001898</v>
      </c>
      <c r="V350" s="315"/>
    </row>
    <row r="351" spans="1:22">
      <c r="A351" s="310"/>
      <c r="B351" s="55" t="s">
        <v>560</v>
      </c>
      <c r="C351" s="307">
        <v>1.6076735109288962E-2</v>
      </c>
      <c r="D351" s="308">
        <v>1.4497906750014337E-2</v>
      </c>
      <c r="E351" s="308">
        <v>6.4141065470026459E-2</v>
      </c>
      <c r="F351" s="308">
        <v>0</v>
      </c>
      <c r="G351" s="308">
        <v>3.2274590163934427E-2</v>
      </c>
      <c r="H351" s="308">
        <v>0</v>
      </c>
      <c r="I351" s="308">
        <v>0</v>
      </c>
      <c r="J351" s="309">
        <v>2.6189199471566758E-2</v>
      </c>
      <c r="K351" s="309">
        <v>0</v>
      </c>
      <c r="L351" s="308">
        <v>0</v>
      </c>
      <c r="M351" s="308">
        <v>0</v>
      </c>
      <c r="N351" s="308">
        <v>0</v>
      </c>
      <c r="O351" s="309">
        <v>0</v>
      </c>
      <c r="P351" s="309">
        <v>0</v>
      </c>
      <c r="Q351" s="308">
        <v>0</v>
      </c>
      <c r="R351" s="309">
        <v>0</v>
      </c>
      <c r="S351" s="309">
        <v>0</v>
      </c>
      <c r="T351" s="309">
        <v>0</v>
      </c>
      <c r="U351" s="309">
        <v>2.6189199471566758E-2</v>
      </c>
      <c r="V351" s="315"/>
    </row>
    <row r="352" spans="1:22">
      <c r="A352" s="310"/>
      <c r="B352" s="311" t="s">
        <v>561</v>
      </c>
      <c r="C352" s="312">
        <v>1.5308001910089365E-2</v>
      </c>
      <c r="D352" s="313">
        <v>7.6456188591931861E-3</v>
      </c>
      <c r="E352" s="313">
        <v>8.449729524131519E-2</v>
      </c>
      <c r="F352" s="313">
        <v>0</v>
      </c>
      <c r="G352" s="313">
        <v>1.6535433070866142E-2</v>
      </c>
      <c r="H352" s="313">
        <v>0</v>
      </c>
      <c r="I352" s="313">
        <v>0</v>
      </c>
      <c r="J352" s="314">
        <v>2.9466435969978257E-2</v>
      </c>
      <c r="K352" s="314">
        <v>0</v>
      </c>
      <c r="L352" s="313">
        <v>0</v>
      </c>
      <c r="M352" s="313">
        <v>0</v>
      </c>
      <c r="N352" s="313">
        <v>0</v>
      </c>
      <c r="O352" s="314">
        <v>0</v>
      </c>
      <c r="P352" s="314">
        <v>0</v>
      </c>
      <c r="Q352" s="313">
        <v>0</v>
      </c>
      <c r="R352" s="314">
        <v>0</v>
      </c>
      <c r="S352" s="314">
        <v>0</v>
      </c>
      <c r="T352" s="314">
        <v>0</v>
      </c>
      <c r="U352" s="314">
        <v>2.9466435969978257E-2</v>
      </c>
      <c r="V352" s="315"/>
    </row>
    <row r="353" spans="1:22">
      <c r="A353" s="310"/>
      <c r="B353" s="316" t="s">
        <v>562</v>
      </c>
      <c r="C353" s="317">
        <v>-7.687331991995966E-2</v>
      </c>
      <c r="D353" s="318">
        <v>-0.68522878908211504</v>
      </c>
      <c r="E353" s="318">
        <v>2.035622977128873</v>
      </c>
      <c r="F353" s="318">
        <v>0</v>
      </c>
      <c r="G353" s="318">
        <v>-1.5739157093068286</v>
      </c>
      <c r="H353" s="318">
        <v>0</v>
      </c>
      <c r="I353" s="318">
        <v>0</v>
      </c>
      <c r="J353" s="320">
        <v>0.32772364984114988</v>
      </c>
      <c r="K353" s="320">
        <v>0</v>
      </c>
      <c r="L353" s="318">
        <v>0</v>
      </c>
      <c r="M353" s="318">
        <v>0</v>
      </c>
      <c r="N353" s="318">
        <v>0</v>
      </c>
      <c r="O353" s="320">
        <v>0</v>
      </c>
      <c r="P353" s="320">
        <v>0</v>
      </c>
      <c r="Q353" s="318">
        <v>0</v>
      </c>
      <c r="R353" s="320">
        <v>0</v>
      </c>
      <c r="S353" s="320">
        <v>0</v>
      </c>
      <c r="T353" s="320">
        <v>0</v>
      </c>
      <c r="U353" s="320">
        <v>0.32772364984114988</v>
      </c>
      <c r="V353" s="315"/>
    </row>
    <row r="354" spans="1:22">
      <c r="A354" s="310"/>
      <c r="B354" s="55" t="s">
        <v>563</v>
      </c>
      <c r="C354" s="307">
        <v>0.19962938248016093</v>
      </c>
      <c r="D354" s="308">
        <v>0.62141423409990248</v>
      </c>
      <c r="E354" s="308">
        <v>0.41832355310090896</v>
      </c>
      <c r="F354" s="308">
        <v>0.66710838331705957</v>
      </c>
      <c r="G354" s="308">
        <v>0.57838114754098358</v>
      </c>
      <c r="H354" s="308">
        <v>0.57529493407356003</v>
      </c>
      <c r="I354" s="308">
        <v>3.1397174254317113E-3</v>
      </c>
      <c r="J354" s="309">
        <v>0.3120841658753149</v>
      </c>
      <c r="K354" s="309">
        <v>0</v>
      </c>
      <c r="L354" s="308">
        <v>0</v>
      </c>
      <c r="M354" s="308">
        <v>0</v>
      </c>
      <c r="N354" s="308">
        <v>0</v>
      </c>
      <c r="O354" s="309">
        <v>0</v>
      </c>
      <c r="P354" s="309">
        <v>0</v>
      </c>
      <c r="Q354" s="308">
        <v>0</v>
      </c>
      <c r="R354" s="309">
        <v>0</v>
      </c>
      <c r="S354" s="309">
        <v>0</v>
      </c>
      <c r="T354" s="309">
        <v>0</v>
      </c>
      <c r="U354" s="309">
        <v>0.3120841658753149</v>
      </c>
      <c r="V354" s="315"/>
    </row>
    <row r="355" spans="1:22">
      <c r="A355" s="310"/>
      <c r="B355" s="311" t="s">
        <v>564</v>
      </c>
      <c r="C355" s="312">
        <v>0.46414391938643251</v>
      </c>
      <c r="D355" s="313">
        <v>0.72427707543900832</v>
      </c>
      <c r="E355" s="313">
        <v>0.62663764685994416</v>
      </c>
      <c r="F355" s="313">
        <v>0.78089280636906455</v>
      </c>
      <c r="G355" s="313">
        <v>0.79424212598425192</v>
      </c>
      <c r="H355" s="313">
        <v>0.67510548523206748</v>
      </c>
      <c r="I355" s="313">
        <v>0.12254901960784313</v>
      </c>
      <c r="J355" s="314">
        <v>0.5484486427085038</v>
      </c>
      <c r="K355" s="314">
        <v>0</v>
      </c>
      <c r="L355" s="313">
        <v>0</v>
      </c>
      <c r="M355" s="313">
        <v>0</v>
      </c>
      <c r="N355" s="313">
        <v>0</v>
      </c>
      <c r="O355" s="314">
        <v>0</v>
      </c>
      <c r="P355" s="314">
        <v>0</v>
      </c>
      <c r="Q355" s="313">
        <v>0</v>
      </c>
      <c r="R355" s="314">
        <v>0</v>
      </c>
      <c r="S355" s="314">
        <v>0</v>
      </c>
      <c r="T355" s="314">
        <v>0</v>
      </c>
      <c r="U355" s="314">
        <v>0.5484486427085038</v>
      </c>
      <c r="V355" s="315"/>
    </row>
    <row r="356" spans="1:22">
      <c r="A356" s="310"/>
      <c r="B356" s="316" t="s">
        <v>565</v>
      </c>
      <c r="C356" s="317">
        <v>26.451453690627158</v>
      </c>
      <c r="D356" s="318">
        <v>10.286284133910584</v>
      </c>
      <c r="E356" s="318">
        <v>20.831409375903519</v>
      </c>
      <c r="F356" s="318">
        <v>11.378442305200497</v>
      </c>
      <c r="G356" s="318">
        <v>21.586097844326837</v>
      </c>
      <c r="H356" s="318">
        <v>9.9810551158507455</v>
      </c>
      <c r="I356" s="318">
        <v>11.940930218241142</v>
      </c>
      <c r="J356" s="320">
        <v>23.636447683318888</v>
      </c>
      <c r="K356" s="320">
        <v>0</v>
      </c>
      <c r="L356" s="318">
        <v>0</v>
      </c>
      <c r="M356" s="318">
        <v>0</v>
      </c>
      <c r="N356" s="318">
        <v>0</v>
      </c>
      <c r="O356" s="320">
        <v>0</v>
      </c>
      <c r="P356" s="320">
        <v>0</v>
      </c>
      <c r="Q356" s="318">
        <v>0</v>
      </c>
      <c r="R356" s="320">
        <v>0</v>
      </c>
      <c r="S356" s="320">
        <v>0</v>
      </c>
      <c r="T356" s="320">
        <v>0</v>
      </c>
      <c r="U356" s="320">
        <v>23.636447683318888</v>
      </c>
      <c r="V356" s="315"/>
    </row>
    <row r="357" spans="1:22">
      <c r="A357" s="310"/>
      <c r="B357" s="55" t="s">
        <v>566</v>
      </c>
      <c r="C357" s="307">
        <v>1.0753668969424054E-4</v>
      </c>
      <c r="D357" s="308">
        <v>2.7527671044331022E-4</v>
      </c>
      <c r="E357" s="308">
        <v>0</v>
      </c>
      <c r="F357" s="308">
        <v>0</v>
      </c>
      <c r="G357" s="308">
        <v>9.9445515911282555E-4</v>
      </c>
      <c r="H357" s="308">
        <v>0</v>
      </c>
      <c r="I357" s="308">
        <v>0</v>
      </c>
      <c r="J357" s="309">
        <v>1.3540352947872636E-4</v>
      </c>
      <c r="K357" s="309">
        <v>0</v>
      </c>
      <c r="L357" s="308">
        <v>0</v>
      </c>
      <c r="M357" s="308">
        <v>0</v>
      </c>
      <c r="N357" s="308">
        <v>0</v>
      </c>
      <c r="O357" s="309">
        <v>0</v>
      </c>
      <c r="P357" s="309">
        <v>0</v>
      </c>
      <c r="Q357" s="308">
        <v>0</v>
      </c>
      <c r="R357" s="309">
        <v>0</v>
      </c>
      <c r="S357" s="309">
        <v>0</v>
      </c>
      <c r="T357" s="309">
        <v>0</v>
      </c>
      <c r="U357" s="309">
        <v>1.3540352947872636E-4</v>
      </c>
      <c r="V357" s="315"/>
    </row>
    <row r="358" spans="1:22">
      <c r="A358" s="310"/>
      <c r="B358" s="311" t="s">
        <v>567</v>
      </c>
      <c r="C358" s="312">
        <v>1.2279145917183982E-4</v>
      </c>
      <c r="D358" s="313">
        <v>6.4831271028246312E-4</v>
      </c>
      <c r="E358" s="313">
        <v>0</v>
      </c>
      <c r="F358" s="313">
        <v>1.705999431333523E-4</v>
      </c>
      <c r="G358" s="313">
        <v>7.3818897637795275E-5</v>
      </c>
      <c r="H358" s="313">
        <v>0</v>
      </c>
      <c r="I358" s="313">
        <v>0</v>
      </c>
      <c r="J358" s="314">
        <v>1.484720241296266E-4</v>
      </c>
      <c r="K358" s="314">
        <v>0</v>
      </c>
      <c r="L358" s="313">
        <v>0</v>
      </c>
      <c r="M358" s="313">
        <v>0</v>
      </c>
      <c r="N358" s="313">
        <v>0</v>
      </c>
      <c r="O358" s="314">
        <v>0</v>
      </c>
      <c r="P358" s="314">
        <v>0</v>
      </c>
      <c r="Q358" s="313">
        <v>0</v>
      </c>
      <c r="R358" s="314">
        <v>0</v>
      </c>
      <c r="S358" s="314">
        <v>0</v>
      </c>
      <c r="T358" s="314">
        <v>0</v>
      </c>
      <c r="U358" s="314">
        <v>1.484720241296266E-4</v>
      </c>
      <c r="V358" s="315"/>
    </row>
    <row r="359" spans="1:22">
      <c r="A359" s="310"/>
      <c r="B359" s="316" t="s">
        <v>568</v>
      </c>
      <c r="C359" s="317">
        <v>1.5254769477599274E-3</v>
      </c>
      <c r="D359" s="318">
        <v>3.7303599983915289E-2</v>
      </c>
      <c r="E359" s="318">
        <v>0</v>
      </c>
      <c r="F359" s="318">
        <v>0</v>
      </c>
      <c r="G359" s="318">
        <v>-9.2063626147503033E-2</v>
      </c>
      <c r="H359" s="318">
        <v>0</v>
      </c>
      <c r="I359" s="318">
        <v>0</v>
      </c>
      <c r="J359" s="320">
        <v>1.3068494650900241E-3</v>
      </c>
      <c r="K359" s="320">
        <v>0</v>
      </c>
      <c r="L359" s="318">
        <v>0</v>
      </c>
      <c r="M359" s="318">
        <v>0</v>
      </c>
      <c r="N359" s="318">
        <v>0</v>
      </c>
      <c r="O359" s="320">
        <v>0</v>
      </c>
      <c r="P359" s="320">
        <v>0</v>
      </c>
      <c r="Q359" s="318">
        <v>0</v>
      </c>
      <c r="R359" s="320">
        <v>0</v>
      </c>
      <c r="S359" s="320">
        <v>0</v>
      </c>
      <c r="T359" s="320">
        <v>0</v>
      </c>
      <c r="U359" s="320">
        <v>1.3068494650900241E-3</v>
      </c>
      <c r="V359" s="315"/>
    </row>
    <row r="360" spans="1:22">
      <c r="A360" s="310"/>
      <c r="B360" s="55" t="s">
        <v>569</v>
      </c>
      <c r="C360" s="307">
        <v>0</v>
      </c>
      <c r="D360" s="308">
        <v>0</v>
      </c>
      <c r="E360" s="308">
        <v>0</v>
      </c>
      <c r="F360" s="308">
        <v>0</v>
      </c>
      <c r="G360" s="308">
        <v>4.4720347155255545E-2</v>
      </c>
      <c r="H360" s="308">
        <v>0</v>
      </c>
      <c r="I360" s="308">
        <v>0</v>
      </c>
      <c r="J360" s="309">
        <v>1.7782198030657516E-3</v>
      </c>
      <c r="K360" s="309">
        <v>0</v>
      </c>
      <c r="L360" s="308">
        <v>0</v>
      </c>
      <c r="M360" s="308">
        <v>0</v>
      </c>
      <c r="N360" s="308">
        <v>0</v>
      </c>
      <c r="O360" s="309">
        <v>0</v>
      </c>
      <c r="P360" s="309">
        <v>0</v>
      </c>
      <c r="Q360" s="308">
        <v>0</v>
      </c>
      <c r="R360" s="309">
        <v>0</v>
      </c>
      <c r="S360" s="309">
        <v>0</v>
      </c>
      <c r="T360" s="309">
        <v>0</v>
      </c>
      <c r="U360" s="309">
        <v>1.7782198030657516E-3</v>
      </c>
      <c r="V360" s="315"/>
    </row>
    <row r="361" spans="1:22">
      <c r="A361" s="310"/>
      <c r="B361" s="311" t="s">
        <v>570</v>
      </c>
      <c r="C361" s="312">
        <v>0</v>
      </c>
      <c r="D361" s="313">
        <v>0</v>
      </c>
      <c r="E361" s="313">
        <v>0</v>
      </c>
      <c r="F361" s="313">
        <v>0</v>
      </c>
      <c r="G361" s="313">
        <v>2.5787401574803151E-2</v>
      </c>
      <c r="H361" s="313">
        <v>0</v>
      </c>
      <c r="I361" s="313">
        <v>0</v>
      </c>
      <c r="J361" s="314">
        <v>1.2251864668334541E-3</v>
      </c>
      <c r="K361" s="314">
        <v>0</v>
      </c>
      <c r="L361" s="313">
        <v>0</v>
      </c>
      <c r="M361" s="313">
        <v>0</v>
      </c>
      <c r="N361" s="313">
        <v>0</v>
      </c>
      <c r="O361" s="314">
        <v>0</v>
      </c>
      <c r="P361" s="314">
        <v>0</v>
      </c>
      <c r="Q361" s="313">
        <v>0</v>
      </c>
      <c r="R361" s="314">
        <v>0</v>
      </c>
      <c r="S361" s="314">
        <v>0</v>
      </c>
      <c r="T361" s="314">
        <v>0</v>
      </c>
      <c r="U361" s="314">
        <v>1.2251864668334541E-3</v>
      </c>
      <c r="V361" s="315"/>
    </row>
    <row r="362" spans="1:22">
      <c r="A362" s="310"/>
      <c r="B362" s="316" t="s">
        <v>571</v>
      </c>
      <c r="C362" s="317">
        <v>0</v>
      </c>
      <c r="D362" s="318">
        <v>0</v>
      </c>
      <c r="E362" s="318">
        <v>0</v>
      </c>
      <c r="F362" s="318">
        <v>0</v>
      </c>
      <c r="G362" s="318">
        <v>-1.8932945580452394</v>
      </c>
      <c r="H362" s="318">
        <v>0</v>
      </c>
      <c r="I362" s="318">
        <v>0</v>
      </c>
      <c r="J362" s="320">
        <v>-5.5303333623229749E-2</v>
      </c>
      <c r="K362" s="320">
        <v>0</v>
      </c>
      <c r="L362" s="318">
        <v>0</v>
      </c>
      <c r="M362" s="318">
        <v>0</v>
      </c>
      <c r="N362" s="318">
        <v>0</v>
      </c>
      <c r="O362" s="320">
        <v>0</v>
      </c>
      <c r="P362" s="320">
        <v>0</v>
      </c>
      <c r="Q362" s="318">
        <v>0</v>
      </c>
      <c r="R362" s="320">
        <v>0</v>
      </c>
      <c r="S362" s="320">
        <v>0</v>
      </c>
      <c r="T362" s="320">
        <v>0</v>
      </c>
      <c r="U362" s="320">
        <v>-5.5303333623229749E-2</v>
      </c>
      <c r="V362" s="315"/>
    </row>
    <row r="363" spans="1:22">
      <c r="A363" s="310"/>
      <c r="B363" s="55" t="s">
        <v>572</v>
      </c>
      <c r="C363" s="307">
        <v>0</v>
      </c>
      <c r="D363" s="308">
        <v>0</v>
      </c>
      <c r="E363" s="308">
        <v>0</v>
      </c>
      <c r="F363" s="308">
        <v>0</v>
      </c>
      <c r="G363" s="308">
        <v>0</v>
      </c>
      <c r="H363" s="308">
        <v>0</v>
      </c>
      <c r="I363" s="308">
        <v>0</v>
      </c>
      <c r="J363" s="309">
        <v>0</v>
      </c>
      <c r="K363" s="309">
        <v>0</v>
      </c>
      <c r="L363" s="308">
        <v>0</v>
      </c>
      <c r="M363" s="308">
        <v>0</v>
      </c>
      <c r="N363" s="308">
        <v>0</v>
      </c>
      <c r="O363" s="309">
        <v>0</v>
      </c>
      <c r="P363" s="309">
        <v>0</v>
      </c>
      <c r="Q363" s="308">
        <v>0</v>
      </c>
      <c r="R363" s="309">
        <v>0</v>
      </c>
      <c r="S363" s="309">
        <v>0</v>
      </c>
      <c r="T363" s="309">
        <v>0</v>
      </c>
      <c r="U363" s="309">
        <v>0</v>
      </c>
      <c r="V363" s="315"/>
    </row>
    <row r="364" spans="1:22">
      <c r="A364" s="310"/>
      <c r="B364" s="311" t="s">
        <v>573</v>
      </c>
      <c r="C364" s="312">
        <v>0</v>
      </c>
      <c r="D364" s="313">
        <v>0</v>
      </c>
      <c r="E364" s="313">
        <v>0</v>
      </c>
      <c r="F364" s="313">
        <v>0</v>
      </c>
      <c r="G364" s="313">
        <v>0</v>
      </c>
      <c r="H364" s="313">
        <v>0</v>
      </c>
      <c r="I364" s="313">
        <v>0</v>
      </c>
      <c r="J364" s="314">
        <v>0</v>
      </c>
      <c r="K364" s="314">
        <v>0</v>
      </c>
      <c r="L364" s="313">
        <v>0</v>
      </c>
      <c r="M364" s="313">
        <v>0</v>
      </c>
      <c r="N364" s="313">
        <v>0</v>
      </c>
      <c r="O364" s="314">
        <v>0</v>
      </c>
      <c r="P364" s="314">
        <v>0</v>
      </c>
      <c r="Q364" s="313">
        <v>0</v>
      </c>
      <c r="R364" s="314">
        <v>0</v>
      </c>
      <c r="S364" s="314">
        <v>0</v>
      </c>
      <c r="T364" s="314">
        <v>0</v>
      </c>
      <c r="U364" s="314">
        <v>0</v>
      </c>
      <c r="V364" s="315"/>
    </row>
    <row r="365" spans="1:22" ht="15" thickBot="1">
      <c r="A365" s="326"/>
      <c r="B365" s="327" t="s">
        <v>574</v>
      </c>
      <c r="C365" s="328">
        <v>0</v>
      </c>
      <c r="D365" s="329">
        <v>0</v>
      </c>
      <c r="E365" s="329">
        <v>0</v>
      </c>
      <c r="F365" s="329">
        <v>0</v>
      </c>
      <c r="G365" s="329">
        <v>0</v>
      </c>
      <c r="H365" s="329">
        <v>0</v>
      </c>
      <c r="I365" s="329">
        <v>0</v>
      </c>
      <c r="J365" s="330">
        <v>0</v>
      </c>
      <c r="K365" s="330">
        <v>0</v>
      </c>
      <c r="L365" s="329">
        <v>0</v>
      </c>
      <c r="M365" s="329">
        <v>0</v>
      </c>
      <c r="N365" s="329">
        <v>0</v>
      </c>
      <c r="O365" s="330">
        <v>0</v>
      </c>
      <c r="P365" s="330">
        <v>0</v>
      </c>
      <c r="Q365" s="329">
        <v>0</v>
      </c>
      <c r="R365" s="330">
        <v>0</v>
      </c>
      <c r="S365" s="330">
        <v>0</v>
      </c>
      <c r="T365" s="330">
        <v>0</v>
      </c>
      <c r="U365" s="330">
        <v>0</v>
      </c>
      <c r="V365" s="315"/>
    </row>
    <row r="366" spans="1:22">
      <c r="A366" s="306" t="s">
        <v>352</v>
      </c>
      <c r="B366" s="55" t="s">
        <v>539</v>
      </c>
      <c r="C366" s="307">
        <v>0</v>
      </c>
      <c r="D366" s="308">
        <v>0</v>
      </c>
      <c r="E366" s="308">
        <v>0</v>
      </c>
      <c r="F366" s="308">
        <v>0</v>
      </c>
      <c r="G366" s="308">
        <v>0</v>
      </c>
      <c r="H366" s="308">
        <v>0</v>
      </c>
      <c r="I366" s="308">
        <v>0</v>
      </c>
      <c r="J366" s="309">
        <v>0</v>
      </c>
      <c r="K366" s="309">
        <v>0</v>
      </c>
      <c r="L366" s="308">
        <v>0</v>
      </c>
      <c r="M366" s="308">
        <v>0</v>
      </c>
      <c r="N366" s="308">
        <v>0</v>
      </c>
      <c r="O366" s="309">
        <v>0</v>
      </c>
      <c r="P366" s="309">
        <v>0</v>
      </c>
      <c r="Q366" s="308">
        <v>0</v>
      </c>
      <c r="R366" s="309">
        <v>0</v>
      </c>
      <c r="S366" s="309">
        <v>0</v>
      </c>
      <c r="T366" s="309">
        <v>0</v>
      </c>
      <c r="U366" s="309">
        <v>0</v>
      </c>
      <c r="V366" s="315"/>
    </row>
    <row r="367" spans="1:22">
      <c r="A367" s="310"/>
      <c r="B367" s="311" t="s">
        <v>540</v>
      </c>
      <c r="C367" s="312">
        <v>0</v>
      </c>
      <c r="D367" s="313">
        <v>0</v>
      </c>
      <c r="E367" s="313">
        <v>0</v>
      </c>
      <c r="F367" s="313">
        <v>0</v>
      </c>
      <c r="G367" s="313">
        <v>0</v>
      </c>
      <c r="H367" s="313">
        <v>0</v>
      </c>
      <c r="I367" s="313">
        <v>0</v>
      </c>
      <c r="J367" s="314">
        <v>0</v>
      </c>
      <c r="K367" s="314">
        <v>0</v>
      </c>
      <c r="L367" s="313">
        <v>0</v>
      </c>
      <c r="M367" s="313">
        <v>0</v>
      </c>
      <c r="N367" s="313">
        <v>0</v>
      </c>
      <c r="O367" s="314">
        <v>0</v>
      </c>
      <c r="P367" s="314">
        <v>0</v>
      </c>
      <c r="Q367" s="313">
        <v>0</v>
      </c>
      <c r="R367" s="314">
        <v>0</v>
      </c>
      <c r="S367" s="314">
        <v>0</v>
      </c>
      <c r="T367" s="314">
        <v>0</v>
      </c>
      <c r="U367" s="314">
        <v>0</v>
      </c>
      <c r="V367" s="315"/>
    </row>
    <row r="368" spans="1:22">
      <c r="A368" s="310"/>
      <c r="B368" s="316" t="s">
        <v>541</v>
      </c>
      <c r="C368" s="317">
        <v>0</v>
      </c>
      <c r="D368" s="318">
        <v>0</v>
      </c>
      <c r="E368" s="318">
        <v>0</v>
      </c>
      <c r="F368" s="318">
        <v>0</v>
      </c>
      <c r="G368" s="318">
        <v>0</v>
      </c>
      <c r="H368" s="318">
        <v>0</v>
      </c>
      <c r="I368" s="318">
        <v>0</v>
      </c>
      <c r="J368" s="320">
        <v>0</v>
      </c>
      <c r="K368" s="320">
        <v>0</v>
      </c>
      <c r="L368" s="318">
        <v>0</v>
      </c>
      <c r="M368" s="318">
        <v>0</v>
      </c>
      <c r="N368" s="318">
        <v>0</v>
      </c>
      <c r="O368" s="320">
        <v>0</v>
      </c>
      <c r="P368" s="320">
        <v>0</v>
      </c>
      <c r="Q368" s="318">
        <v>0</v>
      </c>
      <c r="R368" s="320">
        <v>0</v>
      </c>
      <c r="S368" s="320">
        <v>0</v>
      </c>
      <c r="T368" s="320">
        <v>0</v>
      </c>
      <c r="U368" s="320">
        <v>0</v>
      </c>
      <c r="V368" s="315"/>
    </row>
    <row r="369" spans="1:22">
      <c r="A369" s="310"/>
      <c r="B369" s="55" t="s">
        <v>542</v>
      </c>
      <c r="C369" s="307">
        <v>0</v>
      </c>
      <c r="D369" s="308">
        <v>0</v>
      </c>
      <c r="E369" s="308">
        <v>0</v>
      </c>
      <c r="F369" s="308">
        <v>0</v>
      </c>
      <c r="G369" s="308">
        <v>0</v>
      </c>
      <c r="H369" s="308">
        <v>0</v>
      </c>
      <c r="I369" s="308">
        <v>0</v>
      </c>
      <c r="J369" s="309">
        <v>0</v>
      </c>
      <c r="K369" s="309">
        <v>0</v>
      </c>
      <c r="L369" s="308">
        <v>0</v>
      </c>
      <c r="M369" s="308">
        <v>0</v>
      </c>
      <c r="N369" s="308">
        <v>0</v>
      </c>
      <c r="O369" s="309">
        <v>0</v>
      </c>
      <c r="P369" s="309">
        <v>0</v>
      </c>
      <c r="Q369" s="308">
        <v>0</v>
      </c>
      <c r="R369" s="309">
        <v>0</v>
      </c>
      <c r="S369" s="309">
        <v>0</v>
      </c>
      <c r="T369" s="309">
        <v>0</v>
      </c>
      <c r="U369" s="309">
        <v>0</v>
      </c>
      <c r="V369" s="315"/>
    </row>
    <row r="370" spans="1:22">
      <c r="A370" s="310"/>
      <c r="B370" s="311" t="s">
        <v>543</v>
      </c>
      <c r="C370" s="312">
        <v>0</v>
      </c>
      <c r="D370" s="313">
        <v>0</v>
      </c>
      <c r="E370" s="313">
        <v>0</v>
      </c>
      <c r="F370" s="313">
        <v>0</v>
      </c>
      <c r="G370" s="313">
        <v>0</v>
      </c>
      <c r="H370" s="313">
        <v>0</v>
      </c>
      <c r="I370" s="313">
        <v>0</v>
      </c>
      <c r="J370" s="314">
        <v>0</v>
      </c>
      <c r="K370" s="314">
        <v>0</v>
      </c>
      <c r="L370" s="313">
        <v>0</v>
      </c>
      <c r="M370" s="313">
        <v>0</v>
      </c>
      <c r="N370" s="313">
        <v>0</v>
      </c>
      <c r="O370" s="314">
        <v>0</v>
      </c>
      <c r="P370" s="314">
        <v>0</v>
      </c>
      <c r="Q370" s="313">
        <v>0</v>
      </c>
      <c r="R370" s="314">
        <v>0</v>
      </c>
      <c r="S370" s="314">
        <v>0</v>
      </c>
      <c r="T370" s="314">
        <v>0</v>
      </c>
      <c r="U370" s="314">
        <v>0</v>
      </c>
      <c r="V370" s="315"/>
    </row>
    <row r="371" spans="1:22">
      <c r="A371" s="310"/>
      <c r="B371" s="316" t="s">
        <v>544</v>
      </c>
      <c r="C371" s="317">
        <v>0</v>
      </c>
      <c r="D371" s="318">
        <v>0</v>
      </c>
      <c r="E371" s="318">
        <v>0</v>
      </c>
      <c r="F371" s="318">
        <v>0</v>
      </c>
      <c r="G371" s="318">
        <v>0</v>
      </c>
      <c r="H371" s="318">
        <v>0</v>
      </c>
      <c r="I371" s="318">
        <v>0</v>
      </c>
      <c r="J371" s="320">
        <v>0</v>
      </c>
      <c r="K371" s="320">
        <v>0</v>
      </c>
      <c r="L371" s="318">
        <v>0</v>
      </c>
      <c r="M371" s="318">
        <v>0</v>
      </c>
      <c r="N371" s="318">
        <v>0</v>
      </c>
      <c r="O371" s="320">
        <v>0</v>
      </c>
      <c r="P371" s="320">
        <v>0</v>
      </c>
      <c r="Q371" s="318">
        <v>0</v>
      </c>
      <c r="R371" s="320">
        <v>0</v>
      </c>
      <c r="S371" s="320">
        <v>0</v>
      </c>
      <c r="T371" s="320">
        <v>0</v>
      </c>
      <c r="U371" s="320">
        <v>0</v>
      </c>
      <c r="V371" s="315"/>
    </row>
    <row r="372" spans="1:22">
      <c r="A372" s="310"/>
      <c r="B372" s="55" t="s">
        <v>545</v>
      </c>
      <c r="C372" s="307">
        <v>0</v>
      </c>
      <c r="D372" s="308">
        <v>0</v>
      </c>
      <c r="E372" s="308">
        <v>0</v>
      </c>
      <c r="F372" s="308">
        <v>0</v>
      </c>
      <c r="G372" s="308">
        <v>0</v>
      </c>
      <c r="H372" s="308">
        <v>0</v>
      </c>
      <c r="I372" s="308">
        <v>0</v>
      </c>
      <c r="J372" s="309">
        <v>0</v>
      </c>
      <c r="K372" s="309">
        <v>0</v>
      </c>
      <c r="L372" s="308">
        <v>0</v>
      </c>
      <c r="M372" s="308">
        <v>0</v>
      </c>
      <c r="N372" s="308">
        <v>0</v>
      </c>
      <c r="O372" s="309">
        <v>0</v>
      </c>
      <c r="P372" s="309">
        <v>0</v>
      </c>
      <c r="Q372" s="308">
        <v>0</v>
      </c>
      <c r="R372" s="309">
        <v>0</v>
      </c>
      <c r="S372" s="309">
        <v>0</v>
      </c>
      <c r="T372" s="309">
        <v>0</v>
      </c>
      <c r="U372" s="309">
        <v>0</v>
      </c>
      <c r="V372" s="315"/>
    </row>
    <row r="373" spans="1:22">
      <c r="A373" s="310"/>
      <c r="B373" s="311" t="s">
        <v>546</v>
      </c>
      <c r="C373" s="312">
        <v>0</v>
      </c>
      <c r="D373" s="313">
        <v>0</v>
      </c>
      <c r="E373" s="313">
        <v>0</v>
      </c>
      <c r="F373" s="313">
        <v>0</v>
      </c>
      <c r="G373" s="313">
        <v>0</v>
      </c>
      <c r="H373" s="313">
        <v>0</v>
      </c>
      <c r="I373" s="313">
        <v>0</v>
      </c>
      <c r="J373" s="314">
        <v>0</v>
      </c>
      <c r="K373" s="314">
        <v>0</v>
      </c>
      <c r="L373" s="313">
        <v>0</v>
      </c>
      <c r="M373" s="313">
        <v>0</v>
      </c>
      <c r="N373" s="313">
        <v>0</v>
      </c>
      <c r="O373" s="314">
        <v>0</v>
      </c>
      <c r="P373" s="314">
        <v>0</v>
      </c>
      <c r="Q373" s="313">
        <v>0</v>
      </c>
      <c r="R373" s="314">
        <v>0</v>
      </c>
      <c r="S373" s="314">
        <v>0</v>
      </c>
      <c r="T373" s="314">
        <v>0</v>
      </c>
      <c r="U373" s="314">
        <v>0</v>
      </c>
      <c r="V373" s="315"/>
    </row>
    <row r="374" spans="1:22">
      <c r="A374" s="310"/>
      <c r="B374" s="316" t="s">
        <v>547</v>
      </c>
      <c r="C374" s="317">
        <v>0</v>
      </c>
      <c r="D374" s="318">
        <v>0</v>
      </c>
      <c r="E374" s="318">
        <v>0</v>
      </c>
      <c r="F374" s="318">
        <v>0</v>
      </c>
      <c r="G374" s="318">
        <v>0</v>
      </c>
      <c r="H374" s="318">
        <v>0</v>
      </c>
      <c r="I374" s="318">
        <v>0</v>
      </c>
      <c r="J374" s="320">
        <v>0</v>
      </c>
      <c r="K374" s="320">
        <v>0</v>
      </c>
      <c r="L374" s="318">
        <v>0</v>
      </c>
      <c r="M374" s="318">
        <v>0</v>
      </c>
      <c r="N374" s="318">
        <v>0</v>
      </c>
      <c r="O374" s="320">
        <v>0</v>
      </c>
      <c r="P374" s="320">
        <v>0</v>
      </c>
      <c r="Q374" s="318">
        <v>0</v>
      </c>
      <c r="R374" s="320">
        <v>0</v>
      </c>
      <c r="S374" s="320">
        <v>0</v>
      </c>
      <c r="T374" s="320">
        <v>0</v>
      </c>
      <c r="U374" s="320">
        <v>0</v>
      </c>
      <c r="V374" s="315"/>
    </row>
    <row r="375" spans="1:22">
      <c r="A375" s="310"/>
      <c r="B375" s="55" t="s">
        <v>548</v>
      </c>
      <c r="C375" s="307">
        <v>0</v>
      </c>
      <c r="D375" s="308">
        <v>0</v>
      </c>
      <c r="E375" s="308">
        <v>0</v>
      </c>
      <c r="F375" s="308">
        <v>0</v>
      </c>
      <c r="G375" s="308">
        <v>0</v>
      </c>
      <c r="H375" s="308">
        <v>0</v>
      </c>
      <c r="I375" s="308">
        <v>0</v>
      </c>
      <c r="J375" s="309">
        <v>0</v>
      </c>
      <c r="K375" s="309">
        <v>0</v>
      </c>
      <c r="L375" s="308">
        <v>0</v>
      </c>
      <c r="M375" s="308">
        <v>0</v>
      </c>
      <c r="N375" s="308">
        <v>0</v>
      </c>
      <c r="O375" s="309">
        <v>0</v>
      </c>
      <c r="P375" s="309">
        <v>0</v>
      </c>
      <c r="Q375" s="308">
        <v>0</v>
      </c>
      <c r="R375" s="309">
        <v>0</v>
      </c>
      <c r="S375" s="309">
        <v>0</v>
      </c>
      <c r="T375" s="309">
        <v>0</v>
      </c>
      <c r="U375" s="309">
        <v>0</v>
      </c>
      <c r="V375" s="315"/>
    </row>
    <row r="376" spans="1:22">
      <c r="A376" s="310"/>
      <c r="B376" s="311" t="s">
        <v>549</v>
      </c>
      <c r="C376" s="312">
        <v>0</v>
      </c>
      <c r="D376" s="313">
        <v>0</v>
      </c>
      <c r="E376" s="313">
        <v>0</v>
      </c>
      <c r="F376" s="313">
        <v>0</v>
      </c>
      <c r="G376" s="313">
        <v>0</v>
      </c>
      <c r="H376" s="313">
        <v>0</v>
      </c>
      <c r="I376" s="313">
        <v>0</v>
      </c>
      <c r="J376" s="314">
        <v>0</v>
      </c>
      <c r="K376" s="314">
        <v>0</v>
      </c>
      <c r="L376" s="313">
        <v>0</v>
      </c>
      <c r="M376" s="313">
        <v>0</v>
      </c>
      <c r="N376" s="313">
        <v>0</v>
      </c>
      <c r="O376" s="314">
        <v>0</v>
      </c>
      <c r="P376" s="314">
        <v>0</v>
      </c>
      <c r="Q376" s="313">
        <v>0</v>
      </c>
      <c r="R376" s="314">
        <v>0</v>
      </c>
      <c r="S376" s="314">
        <v>0</v>
      </c>
      <c r="T376" s="314">
        <v>0</v>
      </c>
      <c r="U376" s="314">
        <v>0</v>
      </c>
      <c r="V376" s="315"/>
    </row>
    <row r="377" spans="1:22">
      <c r="A377" s="310"/>
      <c r="B377" s="316" t="s">
        <v>550</v>
      </c>
      <c r="C377" s="317">
        <v>0</v>
      </c>
      <c r="D377" s="318">
        <v>0</v>
      </c>
      <c r="E377" s="318">
        <v>0</v>
      </c>
      <c r="F377" s="318">
        <v>0</v>
      </c>
      <c r="G377" s="318">
        <v>0</v>
      </c>
      <c r="H377" s="318">
        <v>0</v>
      </c>
      <c r="I377" s="318">
        <v>0</v>
      </c>
      <c r="J377" s="320">
        <v>0</v>
      </c>
      <c r="K377" s="320">
        <v>0</v>
      </c>
      <c r="L377" s="318">
        <v>0</v>
      </c>
      <c r="M377" s="318">
        <v>0</v>
      </c>
      <c r="N377" s="318">
        <v>0</v>
      </c>
      <c r="O377" s="320">
        <v>0</v>
      </c>
      <c r="P377" s="320">
        <v>0</v>
      </c>
      <c r="Q377" s="318">
        <v>0</v>
      </c>
      <c r="R377" s="320">
        <v>0</v>
      </c>
      <c r="S377" s="320">
        <v>0</v>
      </c>
      <c r="T377" s="320">
        <v>0</v>
      </c>
      <c r="U377" s="320">
        <v>0</v>
      </c>
      <c r="V377" s="315"/>
    </row>
    <row r="378" spans="1:22">
      <c r="A378" s="310"/>
      <c r="B378" s="55" t="s">
        <v>551</v>
      </c>
      <c r="C378" s="307">
        <v>0</v>
      </c>
      <c r="D378" s="308">
        <v>0</v>
      </c>
      <c r="E378" s="308">
        <v>0</v>
      </c>
      <c r="F378" s="308">
        <v>0</v>
      </c>
      <c r="G378" s="308">
        <v>0</v>
      </c>
      <c r="H378" s="308">
        <v>0</v>
      </c>
      <c r="I378" s="308">
        <v>0</v>
      </c>
      <c r="J378" s="309">
        <v>0</v>
      </c>
      <c r="K378" s="309">
        <v>0</v>
      </c>
      <c r="L378" s="308">
        <v>0</v>
      </c>
      <c r="M378" s="308">
        <v>0</v>
      </c>
      <c r="N378" s="308">
        <v>0</v>
      </c>
      <c r="O378" s="309">
        <v>0</v>
      </c>
      <c r="P378" s="309">
        <v>0</v>
      </c>
      <c r="Q378" s="308">
        <v>0</v>
      </c>
      <c r="R378" s="309">
        <v>0</v>
      </c>
      <c r="S378" s="309">
        <v>0</v>
      </c>
      <c r="T378" s="309">
        <v>0</v>
      </c>
      <c r="U378" s="309">
        <v>0</v>
      </c>
      <c r="V378" s="315"/>
    </row>
    <row r="379" spans="1:22">
      <c r="A379" s="310"/>
      <c r="B379" s="311" t="s">
        <v>552</v>
      </c>
      <c r="C379" s="312">
        <v>0</v>
      </c>
      <c r="D379" s="313">
        <v>0</v>
      </c>
      <c r="E379" s="313">
        <v>0</v>
      </c>
      <c r="F379" s="313">
        <v>0</v>
      </c>
      <c r="G379" s="313">
        <v>0</v>
      </c>
      <c r="H379" s="313">
        <v>0</v>
      </c>
      <c r="I379" s="313">
        <v>0</v>
      </c>
      <c r="J379" s="314">
        <v>0</v>
      </c>
      <c r="K379" s="314">
        <v>0</v>
      </c>
      <c r="L379" s="313">
        <v>0</v>
      </c>
      <c r="M379" s="313">
        <v>0</v>
      </c>
      <c r="N379" s="313">
        <v>0</v>
      </c>
      <c r="O379" s="314">
        <v>0</v>
      </c>
      <c r="P379" s="314">
        <v>0</v>
      </c>
      <c r="Q379" s="313">
        <v>0</v>
      </c>
      <c r="R379" s="314">
        <v>0</v>
      </c>
      <c r="S379" s="314">
        <v>0</v>
      </c>
      <c r="T379" s="314">
        <v>0</v>
      </c>
      <c r="U379" s="314">
        <v>0</v>
      </c>
      <c r="V379" s="315"/>
    </row>
    <row r="380" spans="1:22">
      <c r="A380" s="310"/>
      <c r="B380" s="316" t="s">
        <v>553</v>
      </c>
      <c r="C380" s="317">
        <v>0</v>
      </c>
      <c r="D380" s="318">
        <v>0</v>
      </c>
      <c r="E380" s="318">
        <v>0</v>
      </c>
      <c r="F380" s="318">
        <v>0</v>
      </c>
      <c r="G380" s="318">
        <v>0</v>
      </c>
      <c r="H380" s="318">
        <v>0</v>
      </c>
      <c r="I380" s="318">
        <v>0</v>
      </c>
      <c r="J380" s="320">
        <v>0</v>
      </c>
      <c r="K380" s="320">
        <v>0</v>
      </c>
      <c r="L380" s="318">
        <v>0</v>
      </c>
      <c r="M380" s="318">
        <v>0</v>
      </c>
      <c r="N380" s="318">
        <v>0</v>
      </c>
      <c r="O380" s="320">
        <v>0</v>
      </c>
      <c r="P380" s="320">
        <v>0</v>
      </c>
      <c r="Q380" s="318">
        <v>0</v>
      </c>
      <c r="R380" s="320">
        <v>0</v>
      </c>
      <c r="S380" s="320">
        <v>0</v>
      </c>
      <c r="T380" s="320">
        <v>0</v>
      </c>
      <c r="U380" s="320">
        <v>0</v>
      </c>
      <c r="V380" s="315"/>
    </row>
    <row r="381" spans="1:22">
      <c r="A381" s="310"/>
      <c r="B381" s="55" t="s">
        <v>554</v>
      </c>
      <c r="C381" s="307">
        <v>0</v>
      </c>
      <c r="D381" s="308">
        <v>0</v>
      </c>
      <c r="E381" s="308">
        <v>0</v>
      </c>
      <c r="F381" s="308">
        <v>0</v>
      </c>
      <c r="G381" s="308">
        <v>0</v>
      </c>
      <c r="H381" s="308">
        <v>0</v>
      </c>
      <c r="I381" s="308">
        <v>0</v>
      </c>
      <c r="J381" s="309">
        <v>0</v>
      </c>
      <c r="K381" s="309">
        <v>0</v>
      </c>
      <c r="L381" s="308">
        <v>0</v>
      </c>
      <c r="M381" s="308">
        <v>0</v>
      </c>
      <c r="N381" s="308">
        <v>0</v>
      </c>
      <c r="O381" s="309">
        <v>0</v>
      </c>
      <c r="P381" s="309">
        <v>0</v>
      </c>
      <c r="Q381" s="308">
        <v>0</v>
      </c>
      <c r="R381" s="309">
        <v>0</v>
      </c>
      <c r="S381" s="309">
        <v>0</v>
      </c>
      <c r="T381" s="309">
        <v>0</v>
      </c>
      <c r="U381" s="309">
        <v>0</v>
      </c>
      <c r="V381" s="315"/>
    </row>
    <row r="382" spans="1:22">
      <c r="A382" s="310"/>
      <c r="B382" s="311" t="s">
        <v>555</v>
      </c>
      <c r="C382" s="312">
        <v>0</v>
      </c>
      <c r="D382" s="313">
        <v>0</v>
      </c>
      <c r="E382" s="313">
        <v>0</v>
      </c>
      <c r="F382" s="313">
        <v>0</v>
      </c>
      <c r="G382" s="313">
        <v>0</v>
      </c>
      <c r="H382" s="313">
        <v>0</v>
      </c>
      <c r="I382" s="313">
        <v>0</v>
      </c>
      <c r="J382" s="314">
        <v>0</v>
      </c>
      <c r="K382" s="314">
        <v>0</v>
      </c>
      <c r="L382" s="313">
        <v>0</v>
      </c>
      <c r="M382" s="313">
        <v>0</v>
      </c>
      <c r="N382" s="313">
        <v>0</v>
      </c>
      <c r="O382" s="314">
        <v>0</v>
      </c>
      <c r="P382" s="314">
        <v>0</v>
      </c>
      <c r="Q382" s="313">
        <v>0</v>
      </c>
      <c r="R382" s="314">
        <v>0</v>
      </c>
      <c r="S382" s="314">
        <v>0</v>
      </c>
      <c r="T382" s="314">
        <v>0</v>
      </c>
      <c r="U382" s="314">
        <v>0</v>
      </c>
      <c r="V382" s="315"/>
    </row>
    <row r="383" spans="1:22" ht="15" thickBot="1">
      <c r="A383" s="310"/>
      <c r="B383" s="322" t="s">
        <v>556</v>
      </c>
      <c r="C383" s="323">
        <v>0</v>
      </c>
      <c r="D383" s="324">
        <v>0</v>
      </c>
      <c r="E383" s="324">
        <v>0</v>
      </c>
      <c r="F383" s="324">
        <v>0</v>
      </c>
      <c r="G383" s="324">
        <v>0</v>
      </c>
      <c r="H383" s="324">
        <v>0</v>
      </c>
      <c r="I383" s="324">
        <v>0</v>
      </c>
      <c r="J383" s="325">
        <v>0</v>
      </c>
      <c r="K383" s="325">
        <v>0</v>
      </c>
      <c r="L383" s="324">
        <v>0</v>
      </c>
      <c r="M383" s="324">
        <v>0</v>
      </c>
      <c r="N383" s="324">
        <v>0</v>
      </c>
      <c r="O383" s="325">
        <v>0</v>
      </c>
      <c r="P383" s="325">
        <v>0</v>
      </c>
      <c r="Q383" s="324">
        <v>0</v>
      </c>
      <c r="R383" s="325">
        <v>0</v>
      </c>
      <c r="S383" s="325">
        <v>0</v>
      </c>
      <c r="T383" s="325">
        <v>0</v>
      </c>
      <c r="U383" s="325">
        <v>0</v>
      </c>
      <c r="V383" s="315"/>
    </row>
    <row r="384" spans="1:22" ht="15" thickTop="1">
      <c r="A384" s="310"/>
      <c r="B384" s="311" t="s">
        <v>557</v>
      </c>
      <c r="C384" s="312">
        <v>0</v>
      </c>
      <c r="D384" s="313">
        <v>0</v>
      </c>
      <c r="E384" s="313">
        <v>0</v>
      </c>
      <c r="F384" s="313">
        <v>0</v>
      </c>
      <c r="G384" s="313">
        <v>0</v>
      </c>
      <c r="H384" s="313">
        <v>0</v>
      </c>
      <c r="I384" s="313">
        <v>0</v>
      </c>
      <c r="J384" s="314">
        <v>0</v>
      </c>
      <c r="K384" s="314">
        <v>0</v>
      </c>
      <c r="L384" s="313">
        <v>0</v>
      </c>
      <c r="M384" s="313">
        <v>0</v>
      </c>
      <c r="N384" s="313">
        <v>0</v>
      </c>
      <c r="O384" s="314">
        <v>0</v>
      </c>
      <c r="P384" s="314">
        <v>0</v>
      </c>
      <c r="Q384" s="313">
        <v>0</v>
      </c>
      <c r="R384" s="314">
        <v>0</v>
      </c>
      <c r="S384" s="314">
        <v>0</v>
      </c>
      <c r="T384" s="314">
        <v>0</v>
      </c>
      <c r="U384" s="314">
        <v>0</v>
      </c>
      <c r="V384" s="315"/>
    </row>
    <row r="385" spans="1:22">
      <c r="A385" s="310"/>
      <c r="B385" s="311" t="s">
        <v>558</v>
      </c>
      <c r="C385" s="312">
        <v>0</v>
      </c>
      <c r="D385" s="313">
        <v>0</v>
      </c>
      <c r="E385" s="313">
        <v>0</v>
      </c>
      <c r="F385" s="313">
        <v>0</v>
      </c>
      <c r="G385" s="313">
        <v>0</v>
      </c>
      <c r="H385" s="313">
        <v>0</v>
      </c>
      <c r="I385" s="313">
        <v>0</v>
      </c>
      <c r="J385" s="314">
        <v>0</v>
      </c>
      <c r="K385" s="314">
        <v>0</v>
      </c>
      <c r="L385" s="313">
        <v>0</v>
      </c>
      <c r="M385" s="313">
        <v>0</v>
      </c>
      <c r="N385" s="313">
        <v>0</v>
      </c>
      <c r="O385" s="314">
        <v>0</v>
      </c>
      <c r="P385" s="314">
        <v>0</v>
      </c>
      <c r="Q385" s="313">
        <v>0</v>
      </c>
      <c r="R385" s="314">
        <v>0</v>
      </c>
      <c r="S385" s="314">
        <v>0</v>
      </c>
      <c r="T385" s="314">
        <v>0</v>
      </c>
      <c r="U385" s="314">
        <v>0</v>
      </c>
      <c r="V385" s="315"/>
    </row>
    <row r="386" spans="1:22">
      <c r="A386" s="310"/>
      <c r="B386" s="316" t="s">
        <v>559</v>
      </c>
      <c r="C386" s="317">
        <v>0</v>
      </c>
      <c r="D386" s="318">
        <v>0</v>
      </c>
      <c r="E386" s="318">
        <v>0</v>
      </c>
      <c r="F386" s="318">
        <v>0</v>
      </c>
      <c r="G386" s="318">
        <v>0</v>
      </c>
      <c r="H386" s="318">
        <v>0</v>
      </c>
      <c r="I386" s="318">
        <v>0</v>
      </c>
      <c r="J386" s="320">
        <v>0</v>
      </c>
      <c r="K386" s="320">
        <v>0</v>
      </c>
      <c r="L386" s="318">
        <v>0</v>
      </c>
      <c r="M386" s="318">
        <v>0</v>
      </c>
      <c r="N386" s="318">
        <v>0</v>
      </c>
      <c r="O386" s="320">
        <v>0</v>
      </c>
      <c r="P386" s="320">
        <v>0</v>
      </c>
      <c r="Q386" s="318">
        <v>0</v>
      </c>
      <c r="R386" s="320">
        <v>0</v>
      </c>
      <c r="S386" s="320">
        <v>0</v>
      </c>
      <c r="T386" s="320">
        <v>0</v>
      </c>
      <c r="U386" s="320">
        <v>0</v>
      </c>
      <c r="V386" s="315"/>
    </row>
    <row r="387" spans="1:22">
      <c r="A387" s="310"/>
      <c r="B387" s="55" t="s">
        <v>560</v>
      </c>
      <c r="C387" s="307">
        <v>0</v>
      </c>
      <c r="D387" s="308">
        <v>0</v>
      </c>
      <c r="E387" s="308">
        <v>0</v>
      </c>
      <c r="F387" s="308">
        <v>0</v>
      </c>
      <c r="G387" s="308">
        <v>0</v>
      </c>
      <c r="H387" s="308">
        <v>0</v>
      </c>
      <c r="I387" s="308">
        <v>0</v>
      </c>
      <c r="J387" s="309">
        <v>0</v>
      </c>
      <c r="K387" s="309">
        <v>0</v>
      </c>
      <c r="L387" s="308">
        <v>0</v>
      </c>
      <c r="M387" s="308">
        <v>0</v>
      </c>
      <c r="N387" s="308">
        <v>0</v>
      </c>
      <c r="O387" s="309">
        <v>0</v>
      </c>
      <c r="P387" s="309">
        <v>0</v>
      </c>
      <c r="Q387" s="308">
        <v>0</v>
      </c>
      <c r="R387" s="309">
        <v>0</v>
      </c>
      <c r="S387" s="309">
        <v>0</v>
      </c>
      <c r="T387" s="309">
        <v>0</v>
      </c>
      <c r="U387" s="309">
        <v>0</v>
      </c>
      <c r="V387" s="315"/>
    </row>
    <row r="388" spans="1:22">
      <c r="A388" s="310"/>
      <c r="B388" s="311" t="s">
        <v>561</v>
      </c>
      <c r="C388" s="312">
        <v>0</v>
      </c>
      <c r="D388" s="313">
        <v>0</v>
      </c>
      <c r="E388" s="313">
        <v>0</v>
      </c>
      <c r="F388" s="313">
        <v>0</v>
      </c>
      <c r="G388" s="313">
        <v>0</v>
      </c>
      <c r="H388" s="313">
        <v>0</v>
      </c>
      <c r="I388" s="313">
        <v>0</v>
      </c>
      <c r="J388" s="314">
        <v>0</v>
      </c>
      <c r="K388" s="314">
        <v>0</v>
      </c>
      <c r="L388" s="313">
        <v>0</v>
      </c>
      <c r="M388" s="313">
        <v>0</v>
      </c>
      <c r="N388" s="313">
        <v>0</v>
      </c>
      <c r="O388" s="314">
        <v>0</v>
      </c>
      <c r="P388" s="314">
        <v>0</v>
      </c>
      <c r="Q388" s="313">
        <v>0</v>
      </c>
      <c r="R388" s="314">
        <v>0</v>
      </c>
      <c r="S388" s="314">
        <v>0</v>
      </c>
      <c r="T388" s="314">
        <v>0</v>
      </c>
      <c r="U388" s="314">
        <v>0</v>
      </c>
      <c r="V388" s="315"/>
    </row>
    <row r="389" spans="1:22">
      <c r="A389" s="310"/>
      <c r="B389" s="316" t="s">
        <v>562</v>
      </c>
      <c r="C389" s="317">
        <v>0</v>
      </c>
      <c r="D389" s="318">
        <v>0</v>
      </c>
      <c r="E389" s="318">
        <v>0</v>
      </c>
      <c r="F389" s="318">
        <v>0</v>
      </c>
      <c r="G389" s="318">
        <v>0</v>
      </c>
      <c r="H389" s="318">
        <v>0</v>
      </c>
      <c r="I389" s="318">
        <v>0</v>
      </c>
      <c r="J389" s="320">
        <v>0</v>
      </c>
      <c r="K389" s="320">
        <v>0</v>
      </c>
      <c r="L389" s="318">
        <v>0</v>
      </c>
      <c r="M389" s="318">
        <v>0</v>
      </c>
      <c r="N389" s="318">
        <v>0</v>
      </c>
      <c r="O389" s="320">
        <v>0</v>
      </c>
      <c r="P389" s="320">
        <v>0</v>
      </c>
      <c r="Q389" s="318">
        <v>0</v>
      </c>
      <c r="R389" s="320">
        <v>0</v>
      </c>
      <c r="S389" s="320">
        <v>0</v>
      </c>
      <c r="T389" s="320">
        <v>0</v>
      </c>
      <c r="U389" s="320">
        <v>0</v>
      </c>
      <c r="V389" s="315"/>
    </row>
    <row r="390" spans="1:22">
      <c r="A390" s="310"/>
      <c r="B390" s="55" t="s">
        <v>563</v>
      </c>
      <c r="C390" s="307">
        <v>0</v>
      </c>
      <c r="D390" s="308">
        <v>0</v>
      </c>
      <c r="E390" s="308">
        <v>0</v>
      </c>
      <c r="F390" s="308">
        <v>0</v>
      </c>
      <c r="G390" s="308">
        <v>0</v>
      </c>
      <c r="H390" s="308">
        <v>0</v>
      </c>
      <c r="I390" s="308">
        <v>0</v>
      </c>
      <c r="J390" s="309">
        <v>0</v>
      </c>
      <c r="K390" s="309">
        <v>0</v>
      </c>
      <c r="L390" s="308">
        <v>0</v>
      </c>
      <c r="M390" s="308">
        <v>0</v>
      </c>
      <c r="N390" s="308">
        <v>0</v>
      </c>
      <c r="O390" s="309">
        <v>0</v>
      </c>
      <c r="P390" s="309">
        <v>0</v>
      </c>
      <c r="Q390" s="308">
        <v>0</v>
      </c>
      <c r="R390" s="309">
        <v>0</v>
      </c>
      <c r="S390" s="309">
        <v>0</v>
      </c>
      <c r="T390" s="309">
        <v>0</v>
      </c>
      <c r="U390" s="309">
        <v>0</v>
      </c>
      <c r="V390" s="315"/>
    </row>
    <row r="391" spans="1:22">
      <c r="A391" s="310"/>
      <c r="B391" s="311" t="s">
        <v>564</v>
      </c>
      <c r="C391" s="312">
        <v>0</v>
      </c>
      <c r="D391" s="313">
        <v>0</v>
      </c>
      <c r="E391" s="313">
        <v>0</v>
      </c>
      <c r="F391" s="313">
        <v>0</v>
      </c>
      <c r="G391" s="313">
        <v>0</v>
      </c>
      <c r="H391" s="313">
        <v>0</v>
      </c>
      <c r="I391" s="313">
        <v>0</v>
      </c>
      <c r="J391" s="314">
        <v>0</v>
      </c>
      <c r="K391" s="314">
        <v>0</v>
      </c>
      <c r="L391" s="313">
        <v>0</v>
      </c>
      <c r="M391" s="313">
        <v>0</v>
      </c>
      <c r="N391" s="313">
        <v>0</v>
      </c>
      <c r="O391" s="314">
        <v>0</v>
      </c>
      <c r="P391" s="314">
        <v>0</v>
      </c>
      <c r="Q391" s="313">
        <v>0</v>
      </c>
      <c r="R391" s="314">
        <v>0</v>
      </c>
      <c r="S391" s="314">
        <v>0</v>
      </c>
      <c r="T391" s="314">
        <v>0</v>
      </c>
      <c r="U391" s="314">
        <v>0</v>
      </c>
      <c r="V391" s="315"/>
    </row>
    <row r="392" spans="1:22">
      <c r="A392" s="310"/>
      <c r="B392" s="316" t="s">
        <v>565</v>
      </c>
      <c r="C392" s="317">
        <v>0</v>
      </c>
      <c r="D392" s="318">
        <v>0</v>
      </c>
      <c r="E392" s="318">
        <v>0</v>
      </c>
      <c r="F392" s="318">
        <v>0</v>
      </c>
      <c r="G392" s="318">
        <v>0</v>
      </c>
      <c r="H392" s="318">
        <v>0</v>
      </c>
      <c r="I392" s="318">
        <v>0</v>
      </c>
      <c r="J392" s="320">
        <v>0</v>
      </c>
      <c r="K392" s="320">
        <v>0</v>
      </c>
      <c r="L392" s="318">
        <v>0</v>
      </c>
      <c r="M392" s="318">
        <v>0</v>
      </c>
      <c r="N392" s="318">
        <v>0</v>
      </c>
      <c r="O392" s="320">
        <v>0</v>
      </c>
      <c r="P392" s="320">
        <v>0</v>
      </c>
      <c r="Q392" s="318">
        <v>0</v>
      </c>
      <c r="R392" s="320">
        <v>0</v>
      </c>
      <c r="S392" s="320">
        <v>0</v>
      </c>
      <c r="T392" s="320">
        <v>0</v>
      </c>
      <c r="U392" s="320">
        <v>0</v>
      </c>
      <c r="V392" s="315"/>
    </row>
    <row r="393" spans="1:22">
      <c r="A393" s="310"/>
      <c r="B393" s="55" t="s">
        <v>566</v>
      </c>
      <c r="C393" s="307">
        <v>0</v>
      </c>
      <c r="D393" s="308">
        <v>0</v>
      </c>
      <c r="E393" s="308">
        <v>0</v>
      </c>
      <c r="F393" s="308">
        <v>0</v>
      </c>
      <c r="G393" s="308">
        <v>0</v>
      </c>
      <c r="H393" s="308">
        <v>0</v>
      </c>
      <c r="I393" s="308">
        <v>0</v>
      </c>
      <c r="J393" s="309">
        <v>0</v>
      </c>
      <c r="K393" s="309">
        <v>0</v>
      </c>
      <c r="L393" s="308">
        <v>0</v>
      </c>
      <c r="M393" s="308">
        <v>0</v>
      </c>
      <c r="N393" s="308">
        <v>0</v>
      </c>
      <c r="O393" s="309">
        <v>0</v>
      </c>
      <c r="P393" s="309">
        <v>0</v>
      </c>
      <c r="Q393" s="308">
        <v>0</v>
      </c>
      <c r="R393" s="309">
        <v>0</v>
      </c>
      <c r="S393" s="309">
        <v>0</v>
      </c>
      <c r="T393" s="309">
        <v>0</v>
      </c>
      <c r="U393" s="309">
        <v>0</v>
      </c>
      <c r="V393" s="315"/>
    </row>
    <row r="394" spans="1:22">
      <c r="A394" s="310"/>
      <c r="B394" s="311" t="s">
        <v>567</v>
      </c>
      <c r="C394" s="312">
        <v>0</v>
      </c>
      <c r="D394" s="313">
        <v>0</v>
      </c>
      <c r="E394" s="313">
        <v>0</v>
      </c>
      <c r="F394" s="313">
        <v>0</v>
      </c>
      <c r="G394" s="313">
        <v>0</v>
      </c>
      <c r="H394" s="313">
        <v>0</v>
      </c>
      <c r="I394" s="313">
        <v>0</v>
      </c>
      <c r="J394" s="314">
        <v>0</v>
      </c>
      <c r="K394" s="314">
        <v>0</v>
      </c>
      <c r="L394" s="313">
        <v>0</v>
      </c>
      <c r="M394" s="313">
        <v>0</v>
      </c>
      <c r="N394" s="313">
        <v>0</v>
      </c>
      <c r="O394" s="314">
        <v>0</v>
      </c>
      <c r="P394" s="314">
        <v>0</v>
      </c>
      <c r="Q394" s="313">
        <v>0</v>
      </c>
      <c r="R394" s="314">
        <v>0</v>
      </c>
      <c r="S394" s="314">
        <v>0</v>
      </c>
      <c r="T394" s="314">
        <v>0</v>
      </c>
      <c r="U394" s="314">
        <v>0</v>
      </c>
      <c r="V394" s="315"/>
    </row>
    <row r="395" spans="1:22">
      <c r="A395" s="310"/>
      <c r="B395" s="316" t="s">
        <v>568</v>
      </c>
      <c r="C395" s="317">
        <v>0</v>
      </c>
      <c r="D395" s="318">
        <v>0</v>
      </c>
      <c r="E395" s="318">
        <v>0</v>
      </c>
      <c r="F395" s="318">
        <v>0</v>
      </c>
      <c r="G395" s="318">
        <v>0</v>
      </c>
      <c r="H395" s="318">
        <v>0</v>
      </c>
      <c r="I395" s="318">
        <v>0</v>
      </c>
      <c r="J395" s="320">
        <v>0</v>
      </c>
      <c r="K395" s="320">
        <v>0</v>
      </c>
      <c r="L395" s="318">
        <v>0</v>
      </c>
      <c r="M395" s="318">
        <v>0</v>
      </c>
      <c r="N395" s="318">
        <v>0</v>
      </c>
      <c r="O395" s="320">
        <v>0</v>
      </c>
      <c r="P395" s="320">
        <v>0</v>
      </c>
      <c r="Q395" s="318">
        <v>0</v>
      </c>
      <c r="R395" s="320">
        <v>0</v>
      </c>
      <c r="S395" s="320">
        <v>0</v>
      </c>
      <c r="T395" s="320">
        <v>0</v>
      </c>
      <c r="U395" s="320">
        <v>0</v>
      </c>
      <c r="V395" s="315"/>
    </row>
    <row r="396" spans="1:22">
      <c r="A396" s="310"/>
      <c r="B396" s="55" t="s">
        <v>569</v>
      </c>
      <c r="C396" s="307">
        <v>0</v>
      </c>
      <c r="D396" s="308">
        <v>0</v>
      </c>
      <c r="E396" s="308">
        <v>0</v>
      </c>
      <c r="F396" s="308">
        <v>0</v>
      </c>
      <c r="G396" s="308">
        <v>0</v>
      </c>
      <c r="H396" s="308">
        <v>0</v>
      </c>
      <c r="I396" s="308">
        <v>0</v>
      </c>
      <c r="J396" s="309">
        <v>0</v>
      </c>
      <c r="K396" s="309">
        <v>0</v>
      </c>
      <c r="L396" s="308">
        <v>0</v>
      </c>
      <c r="M396" s="308">
        <v>0</v>
      </c>
      <c r="N396" s="308">
        <v>0</v>
      </c>
      <c r="O396" s="309">
        <v>0</v>
      </c>
      <c r="P396" s="309">
        <v>0</v>
      </c>
      <c r="Q396" s="308">
        <v>0</v>
      </c>
      <c r="R396" s="309">
        <v>0</v>
      </c>
      <c r="S396" s="309">
        <v>0</v>
      </c>
      <c r="T396" s="309">
        <v>0</v>
      </c>
      <c r="U396" s="309">
        <v>0</v>
      </c>
      <c r="V396" s="315"/>
    </row>
    <row r="397" spans="1:22">
      <c r="A397" s="310"/>
      <c r="B397" s="311" t="s">
        <v>570</v>
      </c>
      <c r="C397" s="312">
        <v>0</v>
      </c>
      <c r="D397" s="313">
        <v>0</v>
      </c>
      <c r="E397" s="313">
        <v>0</v>
      </c>
      <c r="F397" s="313">
        <v>0</v>
      </c>
      <c r="G397" s="313">
        <v>0</v>
      </c>
      <c r="H397" s="313">
        <v>0</v>
      </c>
      <c r="I397" s="313">
        <v>0</v>
      </c>
      <c r="J397" s="314">
        <v>0</v>
      </c>
      <c r="K397" s="314">
        <v>0</v>
      </c>
      <c r="L397" s="313">
        <v>0</v>
      </c>
      <c r="M397" s="313">
        <v>0</v>
      </c>
      <c r="N397" s="313">
        <v>0</v>
      </c>
      <c r="O397" s="314">
        <v>0</v>
      </c>
      <c r="P397" s="314">
        <v>0</v>
      </c>
      <c r="Q397" s="313">
        <v>0</v>
      </c>
      <c r="R397" s="314">
        <v>0</v>
      </c>
      <c r="S397" s="314">
        <v>0</v>
      </c>
      <c r="T397" s="314">
        <v>0</v>
      </c>
      <c r="U397" s="314">
        <v>0</v>
      </c>
      <c r="V397" s="315"/>
    </row>
    <row r="398" spans="1:22">
      <c r="A398" s="310"/>
      <c r="B398" s="316" t="s">
        <v>571</v>
      </c>
      <c r="C398" s="317">
        <v>0</v>
      </c>
      <c r="D398" s="318">
        <v>0</v>
      </c>
      <c r="E398" s="318">
        <v>0</v>
      </c>
      <c r="F398" s="318">
        <v>0</v>
      </c>
      <c r="G398" s="318">
        <v>0</v>
      </c>
      <c r="H398" s="318">
        <v>0</v>
      </c>
      <c r="I398" s="318">
        <v>0</v>
      </c>
      <c r="J398" s="320">
        <v>0</v>
      </c>
      <c r="K398" s="320">
        <v>0</v>
      </c>
      <c r="L398" s="318">
        <v>0</v>
      </c>
      <c r="M398" s="318">
        <v>0</v>
      </c>
      <c r="N398" s="318">
        <v>0</v>
      </c>
      <c r="O398" s="320">
        <v>0</v>
      </c>
      <c r="P398" s="320">
        <v>0</v>
      </c>
      <c r="Q398" s="318">
        <v>0</v>
      </c>
      <c r="R398" s="320">
        <v>0</v>
      </c>
      <c r="S398" s="320">
        <v>0</v>
      </c>
      <c r="T398" s="320">
        <v>0</v>
      </c>
      <c r="U398" s="320">
        <v>0</v>
      </c>
      <c r="V398" s="315"/>
    </row>
    <row r="399" spans="1:22">
      <c r="A399" s="310"/>
      <c r="B399" s="55" t="s">
        <v>572</v>
      </c>
      <c r="C399" s="307">
        <v>0</v>
      </c>
      <c r="D399" s="308">
        <v>0</v>
      </c>
      <c r="E399" s="308">
        <v>0</v>
      </c>
      <c r="F399" s="308">
        <v>0</v>
      </c>
      <c r="G399" s="308">
        <v>0</v>
      </c>
      <c r="H399" s="308">
        <v>0</v>
      </c>
      <c r="I399" s="308">
        <v>0</v>
      </c>
      <c r="J399" s="309">
        <v>0</v>
      </c>
      <c r="K399" s="309">
        <v>0</v>
      </c>
      <c r="L399" s="308">
        <v>0</v>
      </c>
      <c r="M399" s="308">
        <v>0</v>
      </c>
      <c r="N399" s="308">
        <v>0</v>
      </c>
      <c r="O399" s="309">
        <v>0</v>
      </c>
      <c r="P399" s="309">
        <v>0</v>
      </c>
      <c r="Q399" s="308">
        <v>0</v>
      </c>
      <c r="R399" s="309">
        <v>0</v>
      </c>
      <c r="S399" s="309">
        <v>0</v>
      </c>
      <c r="T399" s="309">
        <v>0</v>
      </c>
      <c r="U399" s="309">
        <v>0</v>
      </c>
      <c r="V399" s="315"/>
    </row>
    <row r="400" spans="1:22">
      <c r="A400" s="310"/>
      <c r="B400" s="311" t="s">
        <v>573</v>
      </c>
      <c r="C400" s="312">
        <v>0</v>
      </c>
      <c r="D400" s="313">
        <v>0</v>
      </c>
      <c r="E400" s="313">
        <v>0</v>
      </c>
      <c r="F400" s="313">
        <v>0</v>
      </c>
      <c r="G400" s="313">
        <v>0</v>
      </c>
      <c r="H400" s="313">
        <v>0</v>
      </c>
      <c r="I400" s="313">
        <v>0</v>
      </c>
      <c r="J400" s="314">
        <v>0</v>
      </c>
      <c r="K400" s="314">
        <v>0</v>
      </c>
      <c r="L400" s="313">
        <v>0</v>
      </c>
      <c r="M400" s="313">
        <v>0</v>
      </c>
      <c r="N400" s="313">
        <v>0</v>
      </c>
      <c r="O400" s="314">
        <v>0</v>
      </c>
      <c r="P400" s="314">
        <v>0</v>
      </c>
      <c r="Q400" s="313">
        <v>0</v>
      </c>
      <c r="R400" s="314">
        <v>0</v>
      </c>
      <c r="S400" s="314">
        <v>0</v>
      </c>
      <c r="T400" s="314">
        <v>0</v>
      </c>
      <c r="U400" s="314">
        <v>0</v>
      </c>
      <c r="V400" s="315"/>
    </row>
    <row r="401" spans="1:22" ht="15" thickBot="1">
      <c r="A401" s="326"/>
      <c r="B401" s="327" t="s">
        <v>574</v>
      </c>
      <c r="C401" s="328">
        <v>0</v>
      </c>
      <c r="D401" s="329">
        <v>0</v>
      </c>
      <c r="E401" s="329">
        <v>0</v>
      </c>
      <c r="F401" s="329">
        <v>0</v>
      </c>
      <c r="G401" s="329">
        <v>0</v>
      </c>
      <c r="H401" s="329">
        <v>0</v>
      </c>
      <c r="I401" s="329">
        <v>0</v>
      </c>
      <c r="J401" s="330">
        <v>0</v>
      </c>
      <c r="K401" s="330">
        <v>0</v>
      </c>
      <c r="L401" s="329">
        <v>0</v>
      </c>
      <c r="M401" s="329">
        <v>0</v>
      </c>
      <c r="N401" s="329">
        <v>0</v>
      </c>
      <c r="O401" s="330">
        <v>0</v>
      </c>
      <c r="P401" s="330">
        <v>0</v>
      </c>
      <c r="Q401" s="329">
        <v>0</v>
      </c>
      <c r="R401" s="330">
        <v>0</v>
      </c>
      <c r="S401" s="330">
        <v>0</v>
      </c>
      <c r="T401" s="330">
        <v>0</v>
      </c>
      <c r="U401" s="330">
        <v>0</v>
      </c>
      <c r="V401" s="315"/>
    </row>
    <row r="402" spans="1:22">
      <c r="A402" s="306" t="s">
        <v>353</v>
      </c>
      <c r="B402" s="55" t="s">
        <v>539</v>
      </c>
      <c r="C402" s="307">
        <v>0.86552854842942051</v>
      </c>
      <c r="D402" s="308">
        <v>0</v>
      </c>
      <c r="E402" s="308">
        <v>0.88320956193482747</v>
      </c>
      <c r="F402" s="308">
        <v>0.80524882771139006</v>
      </c>
      <c r="G402" s="308">
        <v>0.87363480161420926</v>
      </c>
      <c r="H402" s="308">
        <v>0.73858395795463727</v>
      </c>
      <c r="I402" s="308">
        <v>0</v>
      </c>
      <c r="J402" s="309">
        <v>0.84531992457483907</v>
      </c>
      <c r="K402" s="309">
        <v>0</v>
      </c>
      <c r="L402" s="308">
        <v>0.55189656037202728</v>
      </c>
      <c r="M402" s="308">
        <v>0.55451406431408234</v>
      </c>
      <c r="N402" s="308">
        <v>0.57299097338322769</v>
      </c>
      <c r="O402" s="309">
        <v>0.55638509739998687</v>
      </c>
      <c r="P402" s="309">
        <v>0</v>
      </c>
      <c r="Q402" s="308">
        <v>0</v>
      </c>
      <c r="R402" s="309">
        <v>0</v>
      </c>
      <c r="S402" s="309">
        <v>0</v>
      </c>
      <c r="T402" s="309">
        <v>0</v>
      </c>
      <c r="U402" s="309">
        <v>0.7349037746849364</v>
      </c>
      <c r="V402" s="315"/>
    </row>
    <row r="403" spans="1:22">
      <c r="A403" s="310"/>
      <c r="B403" s="311" t="s">
        <v>540</v>
      </c>
      <c r="C403" s="312">
        <v>0.56016524697619763</v>
      </c>
      <c r="D403" s="313">
        <v>0</v>
      </c>
      <c r="E403" s="313">
        <v>0.69137036257802087</v>
      </c>
      <c r="F403" s="313">
        <v>0.75762664032735993</v>
      </c>
      <c r="G403" s="313">
        <v>0.77135923628195524</v>
      </c>
      <c r="H403" s="313">
        <v>0.48655434474987214</v>
      </c>
      <c r="I403" s="313">
        <v>0</v>
      </c>
      <c r="J403" s="314">
        <v>0.60515599361863681</v>
      </c>
      <c r="K403" s="314">
        <v>0</v>
      </c>
      <c r="L403" s="313">
        <v>0.30917703957692494</v>
      </c>
      <c r="M403" s="313">
        <v>0.29383868090207121</v>
      </c>
      <c r="N403" s="313">
        <v>0.318706505556902</v>
      </c>
      <c r="O403" s="314">
        <v>0.30557314096123711</v>
      </c>
      <c r="P403" s="314">
        <v>0</v>
      </c>
      <c r="Q403" s="313">
        <v>0</v>
      </c>
      <c r="R403" s="314">
        <v>0</v>
      </c>
      <c r="S403" s="314">
        <v>0</v>
      </c>
      <c r="T403" s="314">
        <v>0</v>
      </c>
      <c r="U403" s="314">
        <v>0.49317955015906112</v>
      </c>
      <c r="V403" s="315"/>
    </row>
    <row r="404" spans="1:22">
      <c r="A404" s="310"/>
      <c r="B404" s="316" t="s">
        <v>541</v>
      </c>
      <c r="C404" s="317">
        <v>-30.536330145322289</v>
      </c>
      <c r="D404" s="318">
        <v>0</v>
      </c>
      <c r="E404" s="318">
        <v>-19.18391993568066</v>
      </c>
      <c r="F404" s="318">
        <v>-4.7622187384030124</v>
      </c>
      <c r="G404" s="318">
        <v>-10.227556533225401</v>
      </c>
      <c r="H404" s="318">
        <v>-25.202961320476515</v>
      </c>
      <c r="I404" s="318">
        <v>0</v>
      </c>
      <c r="J404" s="320">
        <v>-24.016393095620224</v>
      </c>
      <c r="K404" s="320">
        <v>0</v>
      </c>
      <c r="L404" s="318">
        <v>-24.271952079510235</v>
      </c>
      <c r="M404" s="318">
        <v>-26.067538341201114</v>
      </c>
      <c r="N404" s="318">
        <v>-25.42844678263257</v>
      </c>
      <c r="O404" s="320">
        <v>-25.081195643874977</v>
      </c>
      <c r="P404" s="320">
        <v>0</v>
      </c>
      <c r="Q404" s="318">
        <v>0</v>
      </c>
      <c r="R404" s="320">
        <v>0</v>
      </c>
      <c r="S404" s="320">
        <v>0</v>
      </c>
      <c r="T404" s="320">
        <v>0</v>
      </c>
      <c r="U404" s="320">
        <v>-24.172422452587526</v>
      </c>
      <c r="V404" s="315"/>
    </row>
    <row r="405" spans="1:22">
      <c r="A405" s="310"/>
      <c r="B405" s="55" t="s">
        <v>542</v>
      </c>
      <c r="C405" s="307">
        <v>2.0268685368333938E-2</v>
      </c>
      <c r="D405" s="308">
        <v>0</v>
      </c>
      <c r="E405" s="308">
        <v>1.8380290395276083E-2</v>
      </c>
      <c r="F405" s="308">
        <v>8.8213858445290901E-3</v>
      </c>
      <c r="G405" s="308">
        <v>8.7096200815004517E-3</v>
      </c>
      <c r="H405" s="308">
        <v>4.4546841145856719E-2</v>
      </c>
      <c r="I405" s="308">
        <v>0</v>
      </c>
      <c r="J405" s="309">
        <v>2.1479462993747783E-2</v>
      </c>
      <c r="K405" s="309">
        <v>0</v>
      </c>
      <c r="L405" s="308">
        <v>7.1948915517616119E-2</v>
      </c>
      <c r="M405" s="308">
        <v>7.734787220160802E-2</v>
      </c>
      <c r="N405" s="308">
        <v>0.1243126185360605</v>
      </c>
      <c r="O405" s="309">
        <v>8.2711176950009804E-2</v>
      </c>
      <c r="P405" s="309">
        <v>0</v>
      </c>
      <c r="Q405" s="308">
        <v>0</v>
      </c>
      <c r="R405" s="309">
        <v>0</v>
      </c>
      <c r="S405" s="309">
        <v>0</v>
      </c>
      <c r="T405" s="309">
        <v>0</v>
      </c>
      <c r="U405" s="309">
        <v>4.48791001102481E-2</v>
      </c>
      <c r="V405" s="315"/>
    </row>
    <row r="406" spans="1:22">
      <c r="A406" s="310"/>
      <c r="B406" s="311" t="s">
        <v>543</v>
      </c>
      <c r="C406" s="312">
        <v>1.2682388211608457E-2</v>
      </c>
      <c r="D406" s="313">
        <v>0</v>
      </c>
      <c r="E406" s="313">
        <v>1.1544365741714784E-2</v>
      </c>
      <c r="F406" s="313">
        <v>4.8433751940172142E-3</v>
      </c>
      <c r="G406" s="313">
        <v>3.1560862124291371E-2</v>
      </c>
      <c r="H406" s="313">
        <v>2.8285597816914757E-2</v>
      </c>
      <c r="I406" s="313">
        <v>0</v>
      </c>
      <c r="J406" s="314">
        <v>1.4824796885530742E-2</v>
      </c>
      <c r="K406" s="314">
        <v>0</v>
      </c>
      <c r="L406" s="313">
        <v>6.8819527899361632E-2</v>
      </c>
      <c r="M406" s="313">
        <v>7.562616731246341E-2</v>
      </c>
      <c r="N406" s="313">
        <v>9.141363431776478E-2</v>
      </c>
      <c r="O406" s="314">
        <v>7.5032740617482982E-2</v>
      </c>
      <c r="P406" s="314">
        <v>0</v>
      </c>
      <c r="Q406" s="313">
        <v>0</v>
      </c>
      <c r="R406" s="314">
        <v>0</v>
      </c>
      <c r="S406" s="314">
        <v>0</v>
      </c>
      <c r="T406" s="314">
        <v>0</v>
      </c>
      <c r="U406" s="314">
        <v>3.7328993461922283E-2</v>
      </c>
      <c r="V406" s="315"/>
    </row>
    <row r="407" spans="1:22">
      <c r="A407" s="310"/>
      <c r="B407" s="316" t="s">
        <v>544</v>
      </c>
      <c r="C407" s="317">
        <v>-0.758629715672548</v>
      </c>
      <c r="D407" s="318">
        <v>0</v>
      </c>
      <c r="E407" s="318">
        <v>-0.68359246535612994</v>
      </c>
      <c r="F407" s="318">
        <v>-0.39780106505118756</v>
      </c>
      <c r="G407" s="318">
        <v>2.2851242042790916</v>
      </c>
      <c r="H407" s="318">
        <v>-1.6261243328941961</v>
      </c>
      <c r="I407" s="318">
        <v>0</v>
      </c>
      <c r="J407" s="320">
        <v>-0.66546661082170411</v>
      </c>
      <c r="K407" s="320">
        <v>0</v>
      </c>
      <c r="L407" s="318">
        <v>-0.31293876182544866</v>
      </c>
      <c r="M407" s="318">
        <v>-0.17217048891446096</v>
      </c>
      <c r="N407" s="318">
        <v>-3.2898984218295722</v>
      </c>
      <c r="O407" s="320">
        <v>-0.76784363325268223</v>
      </c>
      <c r="P407" s="320">
        <v>0</v>
      </c>
      <c r="Q407" s="318">
        <v>0</v>
      </c>
      <c r="R407" s="320">
        <v>0</v>
      </c>
      <c r="S407" s="320">
        <v>0</v>
      </c>
      <c r="T407" s="320">
        <v>0</v>
      </c>
      <c r="U407" s="320">
        <v>-0.75501066483258172</v>
      </c>
      <c r="V407" s="315"/>
    </row>
    <row r="408" spans="1:22">
      <c r="A408" s="310"/>
      <c r="B408" s="55" t="s">
        <v>545</v>
      </c>
      <c r="C408" s="307">
        <v>0.11419858996212846</v>
      </c>
      <c r="D408" s="308">
        <v>0</v>
      </c>
      <c r="E408" s="308">
        <v>9.8410147669896447E-2</v>
      </c>
      <c r="F408" s="308">
        <v>0.18592978644408081</v>
      </c>
      <c r="G408" s="308">
        <v>0.1176555783042903</v>
      </c>
      <c r="H408" s="308">
        <v>0.21686920089950598</v>
      </c>
      <c r="I408" s="308">
        <v>0</v>
      </c>
      <c r="J408" s="309">
        <v>0.13319846580886438</v>
      </c>
      <c r="K408" s="309">
        <v>0</v>
      </c>
      <c r="L408" s="308">
        <v>0.3761545241103566</v>
      </c>
      <c r="M408" s="308">
        <v>0.35240249333337792</v>
      </c>
      <c r="N408" s="308">
        <v>0.27725095084222318</v>
      </c>
      <c r="O408" s="309">
        <v>0.35114030028939164</v>
      </c>
      <c r="P408" s="309">
        <v>0</v>
      </c>
      <c r="Q408" s="308">
        <v>0</v>
      </c>
      <c r="R408" s="309">
        <v>0</v>
      </c>
      <c r="S408" s="309">
        <v>0</v>
      </c>
      <c r="T408" s="309">
        <v>0</v>
      </c>
      <c r="U408" s="309">
        <v>0.21648471585555565</v>
      </c>
      <c r="V408" s="315"/>
    </row>
    <row r="409" spans="1:22">
      <c r="A409" s="310"/>
      <c r="B409" s="311" t="s">
        <v>546</v>
      </c>
      <c r="C409" s="312">
        <v>0.42713481693855748</v>
      </c>
      <c r="D409" s="313">
        <v>0</v>
      </c>
      <c r="E409" s="313">
        <v>0.29708527168026433</v>
      </c>
      <c r="F409" s="313">
        <v>0.23752998447862284</v>
      </c>
      <c r="G409" s="313">
        <v>0.19707990159375335</v>
      </c>
      <c r="H409" s="313">
        <v>0.48516005743321311</v>
      </c>
      <c r="I409" s="313">
        <v>0</v>
      </c>
      <c r="J409" s="314">
        <v>0.38000996732537273</v>
      </c>
      <c r="K409" s="314">
        <v>0</v>
      </c>
      <c r="L409" s="313">
        <v>0.62200343252371348</v>
      </c>
      <c r="M409" s="313">
        <v>0.62253296351016085</v>
      </c>
      <c r="N409" s="313">
        <v>0.56864591628293459</v>
      </c>
      <c r="O409" s="314">
        <v>0.61300619912846532</v>
      </c>
      <c r="P409" s="314">
        <v>0</v>
      </c>
      <c r="Q409" s="313">
        <v>0</v>
      </c>
      <c r="R409" s="314">
        <v>0</v>
      </c>
      <c r="S409" s="314">
        <v>0</v>
      </c>
      <c r="T409" s="314">
        <v>0</v>
      </c>
      <c r="U409" s="314">
        <v>0.46709802709036063</v>
      </c>
      <c r="V409" s="315"/>
    </row>
    <row r="410" spans="1:22">
      <c r="A410" s="310"/>
      <c r="B410" s="316" t="s">
        <v>547</v>
      </c>
      <c r="C410" s="317">
        <v>31.293622697642903</v>
      </c>
      <c r="D410" s="318">
        <v>0</v>
      </c>
      <c r="E410" s="318">
        <v>19.867512401036787</v>
      </c>
      <c r="F410" s="318">
        <v>5.160019803454202</v>
      </c>
      <c r="G410" s="318">
        <v>7.9424323289463059</v>
      </c>
      <c r="H410" s="318">
        <v>26.829085653370711</v>
      </c>
      <c r="I410" s="318">
        <v>0</v>
      </c>
      <c r="J410" s="320">
        <v>24.681150151650836</v>
      </c>
      <c r="K410" s="320">
        <v>0</v>
      </c>
      <c r="L410" s="318">
        <v>24.584890841335689</v>
      </c>
      <c r="M410" s="318">
        <v>27.013047017678293</v>
      </c>
      <c r="N410" s="318">
        <v>29.139496544071143</v>
      </c>
      <c r="O410" s="320">
        <v>26.18658988390737</v>
      </c>
      <c r="P410" s="320">
        <v>0</v>
      </c>
      <c r="Q410" s="318">
        <v>0</v>
      </c>
      <c r="R410" s="320">
        <v>0</v>
      </c>
      <c r="S410" s="320">
        <v>0</v>
      </c>
      <c r="T410" s="320">
        <v>0</v>
      </c>
      <c r="U410" s="320">
        <v>25.0613311234805</v>
      </c>
      <c r="V410" s="315"/>
    </row>
    <row r="411" spans="1:22">
      <c r="A411" s="310"/>
      <c r="B411" s="55" t="s">
        <v>548</v>
      </c>
      <c r="C411" s="307">
        <v>4.1762401171017732E-6</v>
      </c>
      <c r="D411" s="308">
        <v>0</v>
      </c>
      <c r="E411" s="308">
        <v>0</v>
      </c>
      <c r="F411" s="308">
        <v>0</v>
      </c>
      <c r="G411" s="308">
        <v>0</v>
      </c>
      <c r="H411" s="308">
        <v>0</v>
      </c>
      <c r="I411" s="308">
        <v>0</v>
      </c>
      <c r="J411" s="309">
        <v>2.1466225488030164E-6</v>
      </c>
      <c r="K411" s="309">
        <v>0</v>
      </c>
      <c r="L411" s="308">
        <v>0</v>
      </c>
      <c r="M411" s="308">
        <v>1.5735570150931653E-2</v>
      </c>
      <c r="N411" s="308">
        <v>8.5090589641352871E-3</v>
      </c>
      <c r="O411" s="309">
        <v>6.8862834835050225E-3</v>
      </c>
      <c r="P411" s="309">
        <v>0</v>
      </c>
      <c r="Q411" s="308">
        <v>0</v>
      </c>
      <c r="R411" s="309">
        <v>0</v>
      </c>
      <c r="S411" s="309">
        <v>0</v>
      </c>
      <c r="T411" s="309">
        <v>0</v>
      </c>
      <c r="U411" s="309">
        <v>2.6329125116396021E-3</v>
      </c>
      <c r="V411" s="315"/>
    </row>
    <row r="412" spans="1:22">
      <c r="A412" s="310"/>
      <c r="B412" s="311" t="s">
        <v>549</v>
      </c>
      <c r="C412" s="312">
        <v>1.7547873636412108E-5</v>
      </c>
      <c r="D412" s="313">
        <v>0</v>
      </c>
      <c r="E412" s="313">
        <v>0</v>
      </c>
      <c r="F412" s="313">
        <v>0</v>
      </c>
      <c r="G412" s="313">
        <v>0</v>
      </c>
      <c r="H412" s="313">
        <v>0</v>
      </c>
      <c r="I412" s="313">
        <v>0</v>
      </c>
      <c r="J412" s="314">
        <v>9.2421704597482154E-6</v>
      </c>
      <c r="K412" s="314">
        <v>0</v>
      </c>
      <c r="L412" s="313">
        <v>0</v>
      </c>
      <c r="M412" s="313">
        <v>8.0021882753045469E-3</v>
      </c>
      <c r="N412" s="313">
        <v>2.0011771630370806E-3</v>
      </c>
      <c r="O412" s="314">
        <v>3.0796131515144656E-3</v>
      </c>
      <c r="P412" s="314">
        <v>0</v>
      </c>
      <c r="Q412" s="313">
        <v>0</v>
      </c>
      <c r="R412" s="314">
        <v>0</v>
      </c>
      <c r="S412" s="314">
        <v>0</v>
      </c>
      <c r="T412" s="314">
        <v>0</v>
      </c>
      <c r="U412" s="314">
        <v>1.1568686768178166E-3</v>
      </c>
      <c r="V412" s="315"/>
    </row>
    <row r="413" spans="1:22">
      <c r="A413" s="310"/>
      <c r="B413" s="316" t="s">
        <v>550</v>
      </c>
      <c r="C413" s="317">
        <v>1.3371633519310335E-3</v>
      </c>
      <c r="D413" s="318">
        <v>0</v>
      </c>
      <c r="E413" s="318">
        <v>0</v>
      </c>
      <c r="F413" s="318">
        <v>0</v>
      </c>
      <c r="G413" s="318">
        <v>0</v>
      </c>
      <c r="H413" s="318">
        <v>0</v>
      </c>
      <c r="I413" s="318">
        <v>0</v>
      </c>
      <c r="J413" s="320">
        <v>7.0955479109451991E-4</v>
      </c>
      <c r="K413" s="320">
        <v>0</v>
      </c>
      <c r="L413" s="318">
        <v>0</v>
      </c>
      <c r="M413" s="318">
        <v>-0.77333818756271067</v>
      </c>
      <c r="N413" s="318">
        <v>-0.65078818010982065</v>
      </c>
      <c r="O413" s="320">
        <v>-0.3806670331990557</v>
      </c>
      <c r="P413" s="320">
        <v>0</v>
      </c>
      <c r="Q413" s="318">
        <v>0</v>
      </c>
      <c r="R413" s="320">
        <v>0</v>
      </c>
      <c r="S413" s="320">
        <v>0</v>
      </c>
      <c r="T413" s="320">
        <v>0</v>
      </c>
      <c r="U413" s="320">
        <v>-0.14760438348217855</v>
      </c>
      <c r="V413" s="315"/>
    </row>
    <row r="414" spans="1:22">
      <c r="A414" s="310"/>
      <c r="B414" s="55" t="s">
        <v>551</v>
      </c>
      <c r="C414" s="307">
        <v>0</v>
      </c>
      <c r="D414" s="308">
        <v>0</v>
      </c>
      <c r="E414" s="308">
        <v>0</v>
      </c>
      <c r="F414" s="308">
        <v>0</v>
      </c>
      <c r="G414" s="308">
        <v>0</v>
      </c>
      <c r="H414" s="308">
        <v>0</v>
      </c>
      <c r="I414" s="308">
        <v>0</v>
      </c>
      <c r="J414" s="309">
        <v>0</v>
      </c>
      <c r="K414" s="309">
        <v>0</v>
      </c>
      <c r="L414" s="308">
        <v>0</v>
      </c>
      <c r="M414" s="308">
        <v>0</v>
      </c>
      <c r="N414" s="308">
        <v>1.6936398274353309E-2</v>
      </c>
      <c r="O414" s="309">
        <v>2.8771418771065924E-3</v>
      </c>
      <c r="P414" s="309">
        <v>0</v>
      </c>
      <c r="Q414" s="308">
        <v>0</v>
      </c>
      <c r="R414" s="309">
        <v>0</v>
      </c>
      <c r="S414" s="309">
        <v>0</v>
      </c>
      <c r="T414" s="309">
        <v>0</v>
      </c>
      <c r="U414" s="309">
        <v>1.099496837620299E-3</v>
      </c>
      <c r="V414" s="315"/>
    </row>
    <row r="415" spans="1:22">
      <c r="A415" s="310"/>
      <c r="B415" s="311" t="s">
        <v>552</v>
      </c>
      <c r="C415" s="312">
        <v>0</v>
      </c>
      <c r="D415" s="313">
        <v>0</v>
      </c>
      <c r="E415" s="313">
        <v>0</v>
      </c>
      <c r="F415" s="313">
        <v>0</v>
      </c>
      <c r="G415" s="313">
        <v>0</v>
      </c>
      <c r="H415" s="313">
        <v>0</v>
      </c>
      <c r="I415" s="313">
        <v>0</v>
      </c>
      <c r="J415" s="314">
        <v>0</v>
      </c>
      <c r="K415" s="314">
        <v>0</v>
      </c>
      <c r="L415" s="313">
        <v>0</v>
      </c>
      <c r="M415" s="313">
        <v>0</v>
      </c>
      <c r="N415" s="313">
        <v>1.9232766679361562E-2</v>
      </c>
      <c r="O415" s="314">
        <v>3.3083061413001079E-3</v>
      </c>
      <c r="P415" s="314">
        <v>0</v>
      </c>
      <c r="Q415" s="313">
        <v>0</v>
      </c>
      <c r="R415" s="314">
        <v>0</v>
      </c>
      <c r="S415" s="314">
        <v>0</v>
      </c>
      <c r="T415" s="314">
        <v>0</v>
      </c>
      <c r="U415" s="314">
        <v>1.2365606118381702E-3</v>
      </c>
      <c r="V415" s="315"/>
    </row>
    <row r="416" spans="1:22">
      <c r="A416" s="310"/>
      <c r="B416" s="316" t="s">
        <v>553</v>
      </c>
      <c r="C416" s="317">
        <v>0</v>
      </c>
      <c r="D416" s="318">
        <v>0</v>
      </c>
      <c r="E416" s="318">
        <v>0</v>
      </c>
      <c r="F416" s="318">
        <v>0</v>
      </c>
      <c r="G416" s="318">
        <v>0</v>
      </c>
      <c r="H416" s="318">
        <v>0</v>
      </c>
      <c r="I416" s="318">
        <v>0</v>
      </c>
      <c r="J416" s="320">
        <v>0</v>
      </c>
      <c r="K416" s="320">
        <v>0</v>
      </c>
      <c r="L416" s="318">
        <v>0</v>
      </c>
      <c r="M416" s="318">
        <v>0</v>
      </c>
      <c r="N416" s="318">
        <v>0.22963684050082528</v>
      </c>
      <c r="O416" s="320">
        <v>4.3116426419351553E-2</v>
      </c>
      <c r="P416" s="320">
        <v>0</v>
      </c>
      <c r="Q416" s="318">
        <v>0</v>
      </c>
      <c r="R416" s="320">
        <v>0</v>
      </c>
      <c r="S416" s="320">
        <v>0</v>
      </c>
      <c r="T416" s="320">
        <v>0</v>
      </c>
      <c r="U416" s="320">
        <v>1.3706377421787121E-2</v>
      </c>
      <c r="V416" s="315"/>
    </row>
    <row r="417" spans="1:22">
      <c r="A417" s="310"/>
      <c r="B417" s="55" t="s">
        <v>554</v>
      </c>
      <c r="C417" s="307">
        <v>0</v>
      </c>
      <c r="D417" s="308">
        <v>0</v>
      </c>
      <c r="E417" s="308">
        <v>0</v>
      </c>
      <c r="F417" s="308">
        <v>0</v>
      </c>
      <c r="G417" s="308">
        <v>0</v>
      </c>
      <c r="H417" s="308">
        <v>0</v>
      </c>
      <c r="I417" s="308">
        <v>0</v>
      </c>
      <c r="J417" s="309">
        <v>0</v>
      </c>
      <c r="K417" s="309">
        <v>0</v>
      </c>
      <c r="L417" s="308">
        <v>0</v>
      </c>
      <c r="M417" s="308">
        <v>0</v>
      </c>
      <c r="N417" s="308">
        <v>0</v>
      </c>
      <c r="O417" s="309">
        <v>0</v>
      </c>
      <c r="P417" s="309">
        <v>0</v>
      </c>
      <c r="Q417" s="308">
        <v>0</v>
      </c>
      <c r="R417" s="309">
        <v>0</v>
      </c>
      <c r="S417" s="309">
        <v>0</v>
      </c>
      <c r="T417" s="309">
        <v>0</v>
      </c>
      <c r="U417" s="309">
        <v>0</v>
      </c>
      <c r="V417" s="315"/>
    </row>
    <row r="418" spans="1:22">
      <c r="A418" s="310"/>
      <c r="B418" s="311" t="s">
        <v>555</v>
      </c>
      <c r="C418" s="312">
        <v>0</v>
      </c>
      <c r="D418" s="313">
        <v>0</v>
      </c>
      <c r="E418" s="313">
        <v>0</v>
      </c>
      <c r="F418" s="313">
        <v>0</v>
      </c>
      <c r="G418" s="313">
        <v>0</v>
      </c>
      <c r="H418" s="313">
        <v>0</v>
      </c>
      <c r="I418" s="313">
        <v>0</v>
      </c>
      <c r="J418" s="314">
        <v>0</v>
      </c>
      <c r="K418" s="314">
        <v>0</v>
      </c>
      <c r="L418" s="313">
        <v>0</v>
      </c>
      <c r="M418" s="313">
        <v>0</v>
      </c>
      <c r="N418" s="313">
        <v>0</v>
      </c>
      <c r="O418" s="314">
        <v>0</v>
      </c>
      <c r="P418" s="314">
        <v>0</v>
      </c>
      <c r="Q418" s="313">
        <v>0</v>
      </c>
      <c r="R418" s="314">
        <v>0</v>
      </c>
      <c r="S418" s="314">
        <v>0</v>
      </c>
      <c r="T418" s="314">
        <v>0</v>
      </c>
      <c r="U418" s="314">
        <v>0</v>
      </c>
      <c r="V418" s="315"/>
    </row>
    <row r="419" spans="1:22" ht="15" thickBot="1">
      <c r="A419" s="310"/>
      <c r="B419" s="322" t="s">
        <v>556</v>
      </c>
      <c r="C419" s="323">
        <v>0</v>
      </c>
      <c r="D419" s="324">
        <v>0</v>
      </c>
      <c r="E419" s="324">
        <v>0</v>
      </c>
      <c r="F419" s="324">
        <v>0</v>
      </c>
      <c r="G419" s="324">
        <v>0</v>
      </c>
      <c r="H419" s="324">
        <v>0</v>
      </c>
      <c r="I419" s="324">
        <v>0</v>
      </c>
      <c r="J419" s="325">
        <v>0</v>
      </c>
      <c r="K419" s="325">
        <v>0</v>
      </c>
      <c r="L419" s="324">
        <v>0</v>
      </c>
      <c r="M419" s="324">
        <v>0</v>
      </c>
      <c r="N419" s="324">
        <v>0</v>
      </c>
      <c r="O419" s="325">
        <v>0</v>
      </c>
      <c r="P419" s="325">
        <v>0</v>
      </c>
      <c r="Q419" s="324">
        <v>0</v>
      </c>
      <c r="R419" s="325">
        <v>0</v>
      </c>
      <c r="S419" s="325">
        <v>0</v>
      </c>
      <c r="T419" s="325">
        <v>0</v>
      </c>
      <c r="U419" s="325">
        <v>0</v>
      </c>
      <c r="V419" s="315"/>
    </row>
    <row r="420" spans="1:22" ht="15" thickTop="1">
      <c r="A420" s="310"/>
      <c r="B420" s="311" t="s">
        <v>557</v>
      </c>
      <c r="C420" s="312">
        <v>0.64954238956383781</v>
      </c>
      <c r="D420" s="313">
        <v>0</v>
      </c>
      <c r="E420" s="313">
        <v>0.51006663997927804</v>
      </c>
      <c r="F420" s="313">
        <v>0.42187742435996894</v>
      </c>
      <c r="G420" s="313">
        <v>0.64655006726888331</v>
      </c>
      <c r="H420" s="313">
        <v>0.34822581870678521</v>
      </c>
      <c r="I420" s="313">
        <v>0</v>
      </c>
      <c r="J420" s="314">
        <v>0.61343224535718599</v>
      </c>
      <c r="K420" s="314">
        <v>0</v>
      </c>
      <c r="L420" s="313">
        <v>0</v>
      </c>
      <c r="M420" s="313">
        <v>0</v>
      </c>
      <c r="N420" s="313">
        <v>0</v>
      </c>
      <c r="O420" s="314">
        <v>0</v>
      </c>
      <c r="P420" s="314">
        <v>0</v>
      </c>
      <c r="Q420" s="313">
        <v>0</v>
      </c>
      <c r="R420" s="314">
        <v>0</v>
      </c>
      <c r="S420" s="314">
        <v>0</v>
      </c>
      <c r="T420" s="314">
        <v>0</v>
      </c>
      <c r="U420" s="314">
        <v>0.61342708198892304</v>
      </c>
      <c r="V420" s="315"/>
    </row>
    <row r="421" spans="1:22">
      <c r="A421" s="310"/>
      <c r="B421" s="311" t="s">
        <v>558</v>
      </c>
      <c r="C421" s="312">
        <v>0.47973456265377429</v>
      </c>
      <c r="D421" s="313">
        <v>0</v>
      </c>
      <c r="E421" s="313">
        <v>0.31419108917078048</v>
      </c>
      <c r="F421" s="313">
        <v>0.33677979479084452</v>
      </c>
      <c r="G421" s="313">
        <v>0.44490644490644493</v>
      </c>
      <c r="H421" s="313">
        <v>0.18998506294900064</v>
      </c>
      <c r="I421" s="313">
        <v>0</v>
      </c>
      <c r="J421" s="314">
        <v>0.43953381511341327</v>
      </c>
      <c r="K421" s="314">
        <v>0</v>
      </c>
      <c r="L421" s="313">
        <v>0</v>
      </c>
      <c r="M421" s="313">
        <v>0</v>
      </c>
      <c r="N421" s="313">
        <v>0</v>
      </c>
      <c r="O421" s="314">
        <v>0</v>
      </c>
      <c r="P421" s="314">
        <v>0</v>
      </c>
      <c r="Q421" s="313">
        <v>0</v>
      </c>
      <c r="R421" s="314">
        <v>0</v>
      </c>
      <c r="S421" s="314">
        <v>0</v>
      </c>
      <c r="T421" s="314">
        <v>0</v>
      </c>
      <c r="U421" s="314">
        <v>0.43953381511341327</v>
      </c>
      <c r="V421" s="315"/>
    </row>
    <row r="422" spans="1:22">
      <c r="A422" s="310"/>
      <c r="B422" s="316" t="s">
        <v>559</v>
      </c>
      <c r="C422" s="317">
        <v>-16.98078269100635</v>
      </c>
      <c r="D422" s="318">
        <v>0</v>
      </c>
      <c r="E422" s="318">
        <v>-19.587555080849757</v>
      </c>
      <c r="F422" s="318">
        <v>-8.5097629569124429</v>
      </c>
      <c r="G422" s="318">
        <v>-20.164362236243839</v>
      </c>
      <c r="H422" s="318">
        <v>-15.824075575778457</v>
      </c>
      <c r="I422" s="318">
        <v>0</v>
      </c>
      <c r="J422" s="320">
        <v>-17.389843024377271</v>
      </c>
      <c r="K422" s="320">
        <v>0</v>
      </c>
      <c r="L422" s="318">
        <v>0</v>
      </c>
      <c r="M422" s="318">
        <v>0</v>
      </c>
      <c r="N422" s="318">
        <v>0</v>
      </c>
      <c r="O422" s="320">
        <v>0</v>
      </c>
      <c r="P422" s="320">
        <v>0</v>
      </c>
      <c r="Q422" s="318">
        <v>0</v>
      </c>
      <c r="R422" s="320">
        <v>0</v>
      </c>
      <c r="S422" s="320">
        <v>0</v>
      </c>
      <c r="T422" s="320">
        <v>0</v>
      </c>
      <c r="U422" s="320">
        <v>-17.389326687550977</v>
      </c>
      <c r="V422" s="315"/>
    </row>
    <row r="423" spans="1:22">
      <c r="A423" s="310"/>
      <c r="B423" s="55" t="s">
        <v>560</v>
      </c>
      <c r="C423" s="307">
        <v>0.10926826401845133</v>
      </c>
      <c r="D423" s="308">
        <v>0</v>
      </c>
      <c r="E423" s="308">
        <v>8.0250547483928694E-2</v>
      </c>
      <c r="F423" s="308">
        <v>0.10923196276183088</v>
      </c>
      <c r="G423" s="308">
        <v>2.5626241271061568E-4</v>
      </c>
      <c r="H423" s="308">
        <v>7.8565458551781778E-2</v>
      </c>
      <c r="I423" s="308">
        <v>0</v>
      </c>
      <c r="J423" s="309">
        <v>9.9901518191077149E-2</v>
      </c>
      <c r="K423" s="309">
        <v>0</v>
      </c>
      <c r="L423" s="308">
        <v>0</v>
      </c>
      <c r="M423" s="308">
        <v>0</v>
      </c>
      <c r="N423" s="308">
        <v>0</v>
      </c>
      <c r="O423" s="309">
        <v>0</v>
      </c>
      <c r="P423" s="309">
        <v>0</v>
      </c>
      <c r="Q423" s="308">
        <v>0</v>
      </c>
      <c r="R423" s="309">
        <v>0</v>
      </c>
      <c r="S423" s="309">
        <v>0</v>
      </c>
      <c r="T423" s="309">
        <v>0</v>
      </c>
      <c r="U423" s="309">
        <v>9.9900677302238408E-2</v>
      </c>
      <c r="V423" s="315"/>
    </row>
    <row r="424" spans="1:22">
      <c r="A424" s="310"/>
      <c r="B424" s="311" t="s">
        <v>561</v>
      </c>
      <c r="C424" s="312">
        <v>7.4766600132568875E-2</v>
      </c>
      <c r="D424" s="313">
        <v>0</v>
      </c>
      <c r="E424" s="313">
        <v>3.4660167885188192E-2</v>
      </c>
      <c r="F424" s="313">
        <v>4.025256511444357E-2</v>
      </c>
      <c r="G424" s="313">
        <v>4.7470547470547471E-2</v>
      </c>
      <c r="H424" s="313">
        <v>8.5354577139199091E-3</v>
      </c>
      <c r="I424" s="313">
        <v>0</v>
      </c>
      <c r="J424" s="314">
        <v>6.4277260258713123E-2</v>
      </c>
      <c r="K424" s="314">
        <v>0</v>
      </c>
      <c r="L424" s="313">
        <v>0</v>
      </c>
      <c r="M424" s="313">
        <v>0</v>
      </c>
      <c r="N424" s="313">
        <v>0</v>
      </c>
      <c r="O424" s="314">
        <v>0</v>
      </c>
      <c r="P424" s="314">
        <v>0</v>
      </c>
      <c r="Q424" s="313">
        <v>0</v>
      </c>
      <c r="R424" s="314">
        <v>0</v>
      </c>
      <c r="S424" s="314">
        <v>0</v>
      </c>
      <c r="T424" s="314">
        <v>0</v>
      </c>
      <c r="U424" s="314">
        <v>6.4277260258713123E-2</v>
      </c>
      <c r="V424" s="315"/>
    </row>
    <row r="425" spans="1:22">
      <c r="A425" s="310"/>
      <c r="B425" s="316" t="s">
        <v>562</v>
      </c>
      <c r="C425" s="317">
        <v>-3.4501663885882454</v>
      </c>
      <c r="D425" s="318">
        <v>0</v>
      </c>
      <c r="E425" s="318">
        <v>-4.5590379598740505</v>
      </c>
      <c r="F425" s="318">
        <v>-6.897939764738731</v>
      </c>
      <c r="G425" s="318">
        <v>4.7214285057836856</v>
      </c>
      <c r="H425" s="318">
        <v>-7.003000083786187</v>
      </c>
      <c r="I425" s="318">
        <v>0</v>
      </c>
      <c r="J425" s="320">
        <v>-3.5624257932364025</v>
      </c>
      <c r="K425" s="320">
        <v>0</v>
      </c>
      <c r="L425" s="318">
        <v>0</v>
      </c>
      <c r="M425" s="318">
        <v>0</v>
      </c>
      <c r="N425" s="318">
        <v>0</v>
      </c>
      <c r="O425" s="320">
        <v>0</v>
      </c>
      <c r="P425" s="320">
        <v>0</v>
      </c>
      <c r="Q425" s="318">
        <v>0</v>
      </c>
      <c r="R425" s="320">
        <v>0</v>
      </c>
      <c r="S425" s="320">
        <v>0</v>
      </c>
      <c r="T425" s="320">
        <v>0</v>
      </c>
      <c r="U425" s="320">
        <v>-3.5623417043525283</v>
      </c>
      <c r="V425" s="315"/>
    </row>
    <row r="426" spans="1:22">
      <c r="A426" s="310"/>
      <c r="B426" s="55" t="s">
        <v>563</v>
      </c>
      <c r="C426" s="307">
        <v>0.2035338102863187</v>
      </c>
      <c r="D426" s="308">
        <v>0</v>
      </c>
      <c r="E426" s="308">
        <v>0.40968281253679328</v>
      </c>
      <c r="F426" s="308">
        <v>0.46889061287820016</v>
      </c>
      <c r="G426" s="308">
        <v>0.35165609584214236</v>
      </c>
      <c r="H426" s="308">
        <v>0.57320872274143297</v>
      </c>
      <c r="I426" s="308">
        <v>0</v>
      </c>
      <c r="J426" s="309">
        <v>0.25783154840899974</v>
      </c>
      <c r="K426" s="309">
        <v>0</v>
      </c>
      <c r="L426" s="308">
        <v>0</v>
      </c>
      <c r="M426" s="308">
        <v>0</v>
      </c>
      <c r="N426" s="308">
        <v>1</v>
      </c>
      <c r="O426" s="309">
        <v>1</v>
      </c>
      <c r="P426" s="309">
        <v>0</v>
      </c>
      <c r="Q426" s="308">
        <v>0</v>
      </c>
      <c r="R426" s="309">
        <v>0</v>
      </c>
      <c r="S426" s="309">
        <v>0</v>
      </c>
      <c r="T426" s="309">
        <v>0</v>
      </c>
      <c r="U426" s="309">
        <v>0.25783779537279683</v>
      </c>
      <c r="V426" s="315"/>
    </row>
    <row r="427" spans="1:22">
      <c r="A427" s="310"/>
      <c r="B427" s="311" t="s">
        <v>564</v>
      </c>
      <c r="C427" s="312">
        <v>0.42087622785369488</v>
      </c>
      <c r="D427" s="313">
        <v>0</v>
      </c>
      <c r="E427" s="313">
        <v>0.65114874294403136</v>
      </c>
      <c r="F427" s="313">
        <v>0.62296764009471195</v>
      </c>
      <c r="G427" s="313">
        <v>0.5076230076230076</v>
      </c>
      <c r="H427" s="313">
        <v>0.80147947933707941</v>
      </c>
      <c r="I427" s="313">
        <v>0</v>
      </c>
      <c r="J427" s="314">
        <v>0.47787849673475641</v>
      </c>
      <c r="K427" s="314">
        <v>0</v>
      </c>
      <c r="L427" s="313">
        <v>0</v>
      </c>
      <c r="M427" s="313">
        <v>0</v>
      </c>
      <c r="N427" s="313">
        <v>0</v>
      </c>
      <c r="O427" s="314">
        <v>0</v>
      </c>
      <c r="P427" s="314">
        <v>0</v>
      </c>
      <c r="Q427" s="313">
        <v>0</v>
      </c>
      <c r="R427" s="314">
        <v>0</v>
      </c>
      <c r="S427" s="314">
        <v>0</v>
      </c>
      <c r="T427" s="314">
        <v>0</v>
      </c>
      <c r="U427" s="314">
        <v>0.47787849673475641</v>
      </c>
      <c r="V427" s="315"/>
    </row>
    <row r="428" spans="1:22">
      <c r="A428" s="310"/>
      <c r="B428" s="316" t="s">
        <v>565</v>
      </c>
      <c r="C428" s="317">
        <v>21.734241756737617</v>
      </c>
      <c r="D428" s="318">
        <v>0</v>
      </c>
      <c r="E428" s="318">
        <v>24.146593040723808</v>
      </c>
      <c r="F428" s="318">
        <v>15.407702721651178</v>
      </c>
      <c r="G428" s="318">
        <v>15.596691178086525</v>
      </c>
      <c r="H428" s="318">
        <v>22.827075659564645</v>
      </c>
      <c r="I428" s="318">
        <v>0</v>
      </c>
      <c r="J428" s="320">
        <v>22.004694832575666</v>
      </c>
      <c r="K428" s="320">
        <v>0</v>
      </c>
      <c r="L428" s="318">
        <v>0</v>
      </c>
      <c r="M428" s="318">
        <v>0</v>
      </c>
      <c r="N428" s="318">
        <v>-100</v>
      </c>
      <c r="O428" s="320">
        <v>-100</v>
      </c>
      <c r="P428" s="320">
        <v>0</v>
      </c>
      <c r="Q428" s="318">
        <v>0</v>
      </c>
      <c r="R428" s="320">
        <v>0</v>
      </c>
      <c r="S428" s="320">
        <v>0</v>
      </c>
      <c r="T428" s="320">
        <v>0</v>
      </c>
      <c r="U428" s="320">
        <v>22.004070136195956</v>
      </c>
      <c r="V428" s="315"/>
    </row>
    <row r="429" spans="1:22">
      <c r="A429" s="310"/>
      <c r="B429" s="55" t="s">
        <v>566</v>
      </c>
      <c r="C429" s="307">
        <v>3.765553613139222E-2</v>
      </c>
      <c r="D429" s="308">
        <v>0</v>
      </c>
      <c r="E429" s="308">
        <v>0</v>
      </c>
      <c r="F429" s="308">
        <v>0</v>
      </c>
      <c r="G429" s="308">
        <v>1.5375744762636939E-3</v>
      </c>
      <c r="H429" s="308">
        <v>0</v>
      </c>
      <c r="I429" s="308">
        <v>0</v>
      </c>
      <c r="J429" s="309">
        <v>2.8834688042737176E-2</v>
      </c>
      <c r="K429" s="309">
        <v>0</v>
      </c>
      <c r="L429" s="308">
        <v>0</v>
      </c>
      <c r="M429" s="308">
        <v>0</v>
      </c>
      <c r="N429" s="308">
        <v>0</v>
      </c>
      <c r="O429" s="309">
        <v>0</v>
      </c>
      <c r="P429" s="309">
        <v>0</v>
      </c>
      <c r="Q429" s="308">
        <v>0</v>
      </c>
      <c r="R429" s="309">
        <v>0</v>
      </c>
      <c r="S429" s="309">
        <v>0</v>
      </c>
      <c r="T429" s="309">
        <v>0</v>
      </c>
      <c r="U429" s="309">
        <v>2.8834445336041795E-2</v>
      </c>
      <c r="V429" s="315"/>
    </row>
    <row r="430" spans="1:22">
      <c r="A430" s="310"/>
      <c r="B430" s="311" t="s">
        <v>567</v>
      </c>
      <c r="C430" s="312">
        <v>2.4622609359961953E-2</v>
      </c>
      <c r="D430" s="313">
        <v>0</v>
      </c>
      <c r="E430" s="313">
        <v>0</v>
      </c>
      <c r="F430" s="313">
        <v>0</v>
      </c>
      <c r="G430" s="313">
        <v>0</v>
      </c>
      <c r="H430" s="313">
        <v>0</v>
      </c>
      <c r="I430" s="313">
        <v>0</v>
      </c>
      <c r="J430" s="314">
        <v>1.831042789311723E-2</v>
      </c>
      <c r="K430" s="314">
        <v>0</v>
      </c>
      <c r="L430" s="313">
        <v>0</v>
      </c>
      <c r="M430" s="313">
        <v>0</v>
      </c>
      <c r="N430" s="313">
        <v>0</v>
      </c>
      <c r="O430" s="314">
        <v>0</v>
      </c>
      <c r="P430" s="314">
        <v>0</v>
      </c>
      <c r="Q430" s="313">
        <v>0</v>
      </c>
      <c r="R430" s="314">
        <v>0</v>
      </c>
      <c r="S430" s="314">
        <v>0</v>
      </c>
      <c r="T430" s="314">
        <v>0</v>
      </c>
      <c r="U430" s="314">
        <v>1.831042789311723E-2</v>
      </c>
      <c r="V430" s="315"/>
    </row>
    <row r="431" spans="1:22">
      <c r="A431" s="310"/>
      <c r="B431" s="316" t="s">
        <v>568</v>
      </c>
      <c r="C431" s="317">
        <v>-1.3032926771430267</v>
      </c>
      <c r="D431" s="318">
        <v>0</v>
      </c>
      <c r="E431" s="318">
        <v>0</v>
      </c>
      <c r="F431" s="318">
        <v>0</v>
      </c>
      <c r="G431" s="318">
        <v>-0.15375744762636939</v>
      </c>
      <c r="H431" s="318">
        <v>0</v>
      </c>
      <c r="I431" s="318">
        <v>0</v>
      </c>
      <c r="J431" s="320">
        <v>-1.0524260149619946</v>
      </c>
      <c r="K431" s="320">
        <v>0</v>
      </c>
      <c r="L431" s="318">
        <v>0</v>
      </c>
      <c r="M431" s="318">
        <v>0</v>
      </c>
      <c r="N431" s="318">
        <v>0</v>
      </c>
      <c r="O431" s="320">
        <v>0</v>
      </c>
      <c r="P431" s="320">
        <v>0</v>
      </c>
      <c r="Q431" s="318">
        <v>0</v>
      </c>
      <c r="R431" s="320">
        <v>0</v>
      </c>
      <c r="S431" s="320">
        <v>0</v>
      </c>
      <c r="T431" s="320">
        <v>0</v>
      </c>
      <c r="U431" s="320">
        <v>-1.0524017442924565</v>
      </c>
      <c r="V431" s="315"/>
    </row>
    <row r="432" spans="1:22">
      <c r="A432" s="310"/>
      <c r="B432" s="55" t="s">
        <v>569</v>
      </c>
      <c r="C432" s="307">
        <v>0</v>
      </c>
      <c r="D432" s="308">
        <v>0</v>
      </c>
      <c r="E432" s="308">
        <v>0</v>
      </c>
      <c r="F432" s="308">
        <v>0</v>
      </c>
      <c r="G432" s="308">
        <v>0</v>
      </c>
      <c r="H432" s="308">
        <v>0</v>
      </c>
      <c r="I432" s="308">
        <v>0</v>
      </c>
      <c r="J432" s="309">
        <v>0</v>
      </c>
      <c r="K432" s="309">
        <v>0</v>
      </c>
      <c r="L432" s="308">
        <v>0</v>
      </c>
      <c r="M432" s="308">
        <v>0</v>
      </c>
      <c r="N432" s="308">
        <v>0</v>
      </c>
      <c r="O432" s="309">
        <v>0</v>
      </c>
      <c r="P432" s="309">
        <v>0</v>
      </c>
      <c r="Q432" s="308">
        <v>0</v>
      </c>
      <c r="R432" s="309">
        <v>0</v>
      </c>
      <c r="S432" s="309">
        <v>0</v>
      </c>
      <c r="T432" s="309">
        <v>0</v>
      </c>
      <c r="U432" s="309">
        <v>0</v>
      </c>
      <c r="V432" s="315"/>
    </row>
    <row r="433" spans="1:22">
      <c r="A433" s="310"/>
      <c r="B433" s="311" t="s">
        <v>570</v>
      </c>
      <c r="C433" s="312">
        <v>0</v>
      </c>
      <c r="D433" s="313">
        <v>0</v>
      </c>
      <c r="E433" s="313">
        <v>0</v>
      </c>
      <c r="F433" s="313">
        <v>0</v>
      </c>
      <c r="G433" s="313">
        <v>0</v>
      </c>
      <c r="H433" s="313">
        <v>0</v>
      </c>
      <c r="I433" s="313">
        <v>0</v>
      </c>
      <c r="J433" s="314">
        <v>0</v>
      </c>
      <c r="K433" s="314">
        <v>0</v>
      </c>
      <c r="L433" s="313">
        <v>0</v>
      </c>
      <c r="M433" s="313">
        <v>0</v>
      </c>
      <c r="N433" s="313">
        <v>0</v>
      </c>
      <c r="O433" s="314">
        <v>0</v>
      </c>
      <c r="P433" s="314">
        <v>0</v>
      </c>
      <c r="Q433" s="313">
        <v>0</v>
      </c>
      <c r="R433" s="314">
        <v>0</v>
      </c>
      <c r="S433" s="314">
        <v>0</v>
      </c>
      <c r="T433" s="314">
        <v>0</v>
      </c>
      <c r="U433" s="314">
        <v>0</v>
      </c>
      <c r="V433" s="315"/>
    </row>
    <row r="434" spans="1:22">
      <c r="A434" s="310"/>
      <c r="B434" s="316" t="s">
        <v>571</v>
      </c>
      <c r="C434" s="317">
        <v>0</v>
      </c>
      <c r="D434" s="318">
        <v>0</v>
      </c>
      <c r="E434" s="318">
        <v>0</v>
      </c>
      <c r="F434" s="318">
        <v>0</v>
      </c>
      <c r="G434" s="318">
        <v>0</v>
      </c>
      <c r="H434" s="318">
        <v>0</v>
      </c>
      <c r="I434" s="318">
        <v>0</v>
      </c>
      <c r="J434" s="320">
        <v>0</v>
      </c>
      <c r="K434" s="320">
        <v>0</v>
      </c>
      <c r="L434" s="318">
        <v>0</v>
      </c>
      <c r="M434" s="318">
        <v>0</v>
      </c>
      <c r="N434" s="318">
        <v>0</v>
      </c>
      <c r="O434" s="320">
        <v>0</v>
      </c>
      <c r="P434" s="320">
        <v>0</v>
      </c>
      <c r="Q434" s="318">
        <v>0</v>
      </c>
      <c r="R434" s="320">
        <v>0</v>
      </c>
      <c r="S434" s="320">
        <v>0</v>
      </c>
      <c r="T434" s="320">
        <v>0</v>
      </c>
      <c r="U434" s="320">
        <v>0</v>
      </c>
      <c r="V434" s="315"/>
    </row>
    <row r="435" spans="1:22">
      <c r="A435" s="310"/>
      <c r="B435" s="55" t="s">
        <v>572</v>
      </c>
      <c r="C435" s="307">
        <v>0</v>
      </c>
      <c r="D435" s="308">
        <v>0</v>
      </c>
      <c r="E435" s="308">
        <v>0</v>
      </c>
      <c r="F435" s="308">
        <v>0</v>
      </c>
      <c r="G435" s="308">
        <v>0</v>
      </c>
      <c r="H435" s="308">
        <v>0</v>
      </c>
      <c r="I435" s="308">
        <v>0</v>
      </c>
      <c r="J435" s="309">
        <v>0</v>
      </c>
      <c r="K435" s="309">
        <v>0</v>
      </c>
      <c r="L435" s="308">
        <v>0</v>
      </c>
      <c r="M435" s="308">
        <v>0</v>
      </c>
      <c r="N435" s="308">
        <v>0</v>
      </c>
      <c r="O435" s="309">
        <v>0</v>
      </c>
      <c r="P435" s="309">
        <v>0</v>
      </c>
      <c r="Q435" s="308">
        <v>0</v>
      </c>
      <c r="R435" s="309">
        <v>0</v>
      </c>
      <c r="S435" s="309">
        <v>0</v>
      </c>
      <c r="T435" s="309">
        <v>0</v>
      </c>
      <c r="U435" s="309">
        <v>0</v>
      </c>
      <c r="V435" s="315"/>
    </row>
    <row r="436" spans="1:22">
      <c r="A436" s="310"/>
      <c r="B436" s="311" t="s">
        <v>573</v>
      </c>
      <c r="C436" s="312">
        <v>0</v>
      </c>
      <c r="D436" s="313">
        <v>0</v>
      </c>
      <c r="E436" s="313">
        <v>0</v>
      </c>
      <c r="F436" s="313">
        <v>0</v>
      </c>
      <c r="G436" s="313">
        <v>0</v>
      </c>
      <c r="H436" s="313">
        <v>0</v>
      </c>
      <c r="I436" s="313">
        <v>0</v>
      </c>
      <c r="J436" s="314">
        <v>0</v>
      </c>
      <c r="K436" s="314">
        <v>0</v>
      </c>
      <c r="L436" s="313">
        <v>0</v>
      </c>
      <c r="M436" s="313">
        <v>0</v>
      </c>
      <c r="N436" s="313">
        <v>0</v>
      </c>
      <c r="O436" s="314">
        <v>0</v>
      </c>
      <c r="P436" s="314">
        <v>0</v>
      </c>
      <c r="Q436" s="313">
        <v>0</v>
      </c>
      <c r="R436" s="314">
        <v>0</v>
      </c>
      <c r="S436" s="314">
        <v>0</v>
      </c>
      <c r="T436" s="314">
        <v>0</v>
      </c>
      <c r="U436" s="314">
        <v>0</v>
      </c>
      <c r="V436" s="315"/>
    </row>
    <row r="437" spans="1:22" ht="15" thickBot="1">
      <c r="A437" s="326"/>
      <c r="B437" s="327" t="s">
        <v>574</v>
      </c>
      <c r="C437" s="328">
        <v>0</v>
      </c>
      <c r="D437" s="329">
        <v>0</v>
      </c>
      <c r="E437" s="329">
        <v>0</v>
      </c>
      <c r="F437" s="329">
        <v>0</v>
      </c>
      <c r="G437" s="329">
        <v>0</v>
      </c>
      <c r="H437" s="329">
        <v>0</v>
      </c>
      <c r="I437" s="329">
        <v>0</v>
      </c>
      <c r="J437" s="330">
        <v>0</v>
      </c>
      <c r="K437" s="330">
        <v>0</v>
      </c>
      <c r="L437" s="329">
        <v>0</v>
      </c>
      <c r="M437" s="329">
        <v>0</v>
      </c>
      <c r="N437" s="329">
        <v>0</v>
      </c>
      <c r="O437" s="330">
        <v>0</v>
      </c>
      <c r="P437" s="330">
        <v>0</v>
      </c>
      <c r="Q437" s="329">
        <v>0</v>
      </c>
      <c r="R437" s="330">
        <v>0</v>
      </c>
      <c r="S437" s="330">
        <v>0</v>
      </c>
      <c r="T437" s="330">
        <v>0</v>
      </c>
      <c r="U437" s="330">
        <v>0</v>
      </c>
      <c r="V437" s="315"/>
    </row>
    <row r="438" spans="1:22">
      <c r="A438" s="306" t="s">
        <v>385</v>
      </c>
      <c r="B438" s="55" t="s">
        <v>539</v>
      </c>
      <c r="C438" s="307">
        <v>0.80951872819394932</v>
      </c>
      <c r="D438" s="308">
        <v>0.7137791536068212</v>
      </c>
      <c r="E438" s="308">
        <v>0.66560160199524987</v>
      </c>
      <c r="F438" s="308">
        <v>0.73189299773720595</v>
      </c>
      <c r="G438" s="308">
        <v>0</v>
      </c>
      <c r="H438" s="308">
        <v>0</v>
      </c>
      <c r="I438" s="308">
        <v>0</v>
      </c>
      <c r="J438" s="309">
        <v>0.73629371376539132</v>
      </c>
      <c r="K438" s="309">
        <v>0</v>
      </c>
      <c r="L438" s="308">
        <v>0.39195314849067436</v>
      </c>
      <c r="M438" s="308">
        <v>0.32356260524184738</v>
      </c>
      <c r="N438" s="308">
        <v>0.3090753749762673</v>
      </c>
      <c r="O438" s="309">
        <v>0.35825927868115609</v>
      </c>
      <c r="P438" s="309">
        <v>0</v>
      </c>
      <c r="Q438" s="308">
        <v>0</v>
      </c>
      <c r="R438" s="309">
        <v>0</v>
      </c>
      <c r="S438" s="309">
        <v>0</v>
      </c>
      <c r="T438" s="309">
        <v>0</v>
      </c>
      <c r="U438" s="309">
        <v>0.59730925262324841</v>
      </c>
      <c r="V438" s="315"/>
    </row>
    <row r="439" spans="1:22">
      <c r="A439" s="310"/>
      <c r="B439" s="311" t="s">
        <v>540</v>
      </c>
      <c r="C439" s="312">
        <v>0.75382897343957256</v>
      </c>
      <c r="D439" s="313">
        <v>0.53213890060452695</v>
      </c>
      <c r="E439" s="313">
        <v>0.39360936691048598</v>
      </c>
      <c r="F439" s="313">
        <v>0.48496981450780441</v>
      </c>
      <c r="G439" s="313">
        <v>0</v>
      </c>
      <c r="H439" s="313">
        <v>0</v>
      </c>
      <c r="I439" s="313">
        <v>0</v>
      </c>
      <c r="J439" s="314">
        <v>0.57682273550668206</v>
      </c>
      <c r="K439" s="314">
        <v>0</v>
      </c>
      <c r="L439" s="313">
        <v>0.19391538620493365</v>
      </c>
      <c r="M439" s="313">
        <v>0.1930927192584764</v>
      </c>
      <c r="N439" s="313">
        <v>0.27073371482323433</v>
      </c>
      <c r="O439" s="314">
        <v>0.19619739132314945</v>
      </c>
      <c r="P439" s="314">
        <v>0</v>
      </c>
      <c r="Q439" s="313">
        <v>0</v>
      </c>
      <c r="R439" s="314">
        <v>0</v>
      </c>
      <c r="S439" s="314">
        <v>0</v>
      </c>
      <c r="T439" s="314">
        <v>0</v>
      </c>
      <c r="U439" s="314">
        <v>0.44789751336011074</v>
      </c>
      <c r="V439" s="315"/>
    </row>
    <row r="440" spans="1:22">
      <c r="A440" s="310"/>
      <c r="B440" s="316" t="s">
        <v>541</v>
      </c>
      <c r="C440" s="317">
        <v>-5.5689754754376768</v>
      </c>
      <c r="D440" s="318">
        <v>-18.164025300229426</v>
      </c>
      <c r="E440" s="318">
        <v>-27.19922350847639</v>
      </c>
      <c r="F440" s="318">
        <v>-24.692318322940153</v>
      </c>
      <c r="G440" s="318">
        <v>0</v>
      </c>
      <c r="H440" s="318">
        <v>0</v>
      </c>
      <c r="I440" s="318">
        <v>0</v>
      </c>
      <c r="J440" s="320">
        <v>-15.947097825870927</v>
      </c>
      <c r="K440" s="320">
        <v>0</v>
      </c>
      <c r="L440" s="318">
        <v>-19.803776228574073</v>
      </c>
      <c r="M440" s="318">
        <v>-13.046988598337098</v>
      </c>
      <c r="N440" s="318">
        <v>-3.8341660153032975</v>
      </c>
      <c r="O440" s="320">
        <v>-16.206188735800666</v>
      </c>
      <c r="P440" s="320">
        <v>0</v>
      </c>
      <c r="Q440" s="318">
        <v>0</v>
      </c>
      <c r="R440" s="320">
        <v>0</v>
      </c>
      <c r="S440" s="320">
        <v>0</v>
      </c>
      <c r="T440" s="320">
        <v>0</v>
      </c>
      <c r="U440" s="320">
        <v>-14.941173926313766</v>
      </c>
      <c r="V440" s="315"/>
    </row>
    <row r="441" spans="1:22">
      <c r="A441" s="310"/>
      <c r="B441" s="55" t="s">
        <v>542</v>
      </c>
      <c r="C441" s="307">
        <v>1.8684367479234829E-2</v>
      </c>
      <c r="D441" s="308">
        <v>4.0051356216730775E-2</v>
      </c>
      <c r="E441" s="308">
        <v>2.4247253685468723E-2</v>
      </c>
      <c r="F441" s="308">
        <v>9.0741142556027402E-2</v>
      </c>
      <c r="G441" s="308">
        <v>0</v>
      </c>
      <c r="H441" s="308">
        <v>0</v>
      </c>
      <c r="I441" s="308">
        <v>0</v>
      </c>
      <c r="J441" s="309">
        <v>3.1045305723290256E-2</v>
      </c>
      <c r="K441" s="309">
        <v>0</v>
      </c>
      <c r="L441" s="308">
        <v>0.30998920283186487</v>
      </c>
      <c r="M441" s="308">
        <v>0.34651464709436097</v>
      </c>
      <c r="N441" s="308">
        <v>0.36797038162141638</v>
      </c>
      <c r="O441" s="309">
        <v>0.328407021223798</v>
      </c>
      <c r="P441" s="309">
        <v>0</v>
      </c>
      <c r="Q441" s="308">
        <v>0</v>
      </c>
      <c r="R441" s="309">
        <v>0</v>
      </c>
      <c r="S441" s="309">
        <v>0</v>
      </c>
      <c r="T441" s="309">
        <v>0</v>
      </c>
      <c r="U441" s="309">
        <v>0.1403704199392273</v>
      </c>
      <c r="V441" s="315"/>
    </row>
    <row r="442" spans="1:22">
      <c r="A442" s="310"/>
      <c r="B442" s="311" t="s">
        <v>543</v>
      </c>
      <c r="C442" s="312">
        <v>1.8676191650124276E-2</v>
      </c>
      <c r="D442" s="313">
        <v>3.0986644172641641E-2</v>
      </c>
      <c r="E442" s="313">
        <v>1.650493169961104E-2</v>
      </c>
      <c r="F442" s="313">
        <v>6.9223310081641592E-2</v>
      </c>
      <c r="G442" s="313">
        <v>0</v>
      </c>
      <c r="H442" s="313">
        <v>0</v>
      </c>
      <c r="I442" s="313">
        <v>0</v>
      </c>
      <c r="J442" s="314">
        <v>2.4694690807602775E-2</v>
      </c>
      <c r="K442" s="314">
        <v>0</v>
      </c>
      <c r="L442" s="313">
        <v>0.15418305826636983</v>
      </c>
      <c r="M442" s="313">
        <v>0.24266459643339647</v>
      </c>
      <c r="N442" s="313">
        <v>0.32493924903974286</v>
      </c>
      <c r="O442" s="314">
        <v>0.19949945404815186</v>
      </c>
      <c r="P442" s="314">
        <v>0</v>
      </c>
      <c r="Q442" s="313">
        <v>0</v>
      </c>
      <c r="R442" s="314">
        <v>0</v>
      </c>
      <c r="S442" s="314">
        <v>0</v>
      </c>
      <c r="T442" s="314">
        <v>0</v>
      </c>
      <c r="U442" s="314">
        <v>8.3904470916726745E-2</v>
      </c>
      <c r="V442" s="315"/>
    </row>
    <row r="443" spans="1:22">
      <c r="A443" s="310"/>
      <c r="B443" s="316" t="s">
        <v>544</v>
      </c>
      <c r="C443" s="317">
        <v>-8.1758291105536729E-4</v>
      </c>
      <c r="D443" s="318">
        <v>-0.90647120440891338</v>
      </c>
      <c r="E443" s="318">
        <v>-0.77423219858576831</v>
      </c>
      <c r="F443" s="318">
        <v>-2.1517832474385807</v>
      </c>
      <c r="G443" s="318">
        <v>0</v>
      </c>
      <c r="H443" s="318">
        <v>0</v>
      </c>
      <c r="I443" s="318">
        <v>0</v>
      </c>
      <c r="J443" s="320">
        <v>-0.63506149156874814</v>
      </c>
      <c r="K443" s="320">
        <v>0</v>
      </c>
      <c r="L443" s="318">
        <v>-15.580614456549505</v>
      </c>
      <c r="M443" s="318">
        <v>-10.385005066096451</v>
      </c>
      <c r="N443" s="318">
        <v>-4.3031132581673512</v>
      </c>
      <c r="O443" s="320">
        <v>-12.890756717564614</v>
      </c>
      <c r="P443" s="320">
        <v>0</v>
      </c>
      <c r="Q443" s="318">
        <v>0</v>
      </c>
      <c r="R443" s="320">
        <v>0</v>
      </c>
      <c r="S443" s="320">
        <v>0</v>
      </c>
      <c r="T443" s="320">
        <v>0</v>
      </c>
      <c r="U443" s="320">
        <v>-5.6465949022500554</v>
      </c>
      <c r="V443" s="315"/>
    </row>
    <row r="444" spans="1:22">
      <c r="A444" s="310"/>
      <c r="B444" s="55" t="s">
        <v>545</v>
      </c>
      <c r="C444" s="307">
        <v>0.13026560746345731</v>
      </c>
      <c r="D444" s="308">
        <v>0.19060549859199769</v>
      </c>
      <c r="E444" s="308">
        <v>0.2054807279350509</v>
      </c>
      <c r="F444" s="308">
        <v>0.14925761755680234</v>
      </c>
      <c r="G444" s="308">
        <v>0</v>
      </c>
      <c r="H444" s="308">
        <v>0</v>
      </c>
      <c r="I444" s="308">
        <v>0</v>
      </c>
      <c r="J444" s="309">
        <v>0.17069865123378863</v>
      </c>
      <c r="K444" s="309">
        <v>0</v>
      </c>
      <c r="L444" s="308">
        <v>0.24871641260671884</v>
      </c>
      <c r="M444" s="308">
        <v>0.23414013393832667</v>
      </c>
      <c r="N444" s="308">
        <v>0.24108600721473325</v>
      </c>
      <c r="O444" s="309">
        <v>0.24184442904565481</v>
      </c>
      <c r="P444" s="309">
        <v>0</v>
      </c>
      <c r="Q444" s="308">
        <v>0</v>
      </c>
      <c r="R444" s="309">
        <v>0</v>
      </c>
      <c r="S444" s="309">
        <v>0</v>
      </c>
      <c r="T444" s="309">
        <v>0</v>
      </c>
      <c r="U444" s="309">
        <v>0.1968554154701406</v>
      </c>
      <c r="V444" s="315"/>
    </row>
    <row r="445" spans="1:22">
      <c r="A445" s="310"/>
      <c r="B445" s="311" t="s">
        <v>546</v>
      </c>
      <c r="C445" s="312">
        <v>0.19638287342724628</v>
      </c>
      <c r="D445" s="313">
        <v>0.38335442148179388</v>
      </c>
      <c r="E445" s="313">
        <v>0.42279998406988012</v>
      </c>
      <c r="F445" s="313">
        <v>0.4306046482529951</v>
      </c>
      <c r="G445" s="313">
        <v>0</v>
      </c>
      <c r="H445" s="313">
        <v>0</v>
      </c>
      <c r="I445" s="313">
        <v>0</v>
      </c>
      <c r="J445" s="314">
        <v>0.32590540623790826</v>
      </c>
      <c r="K445" s="314">
        <v>0</v>
      </c>
      <c r="L445" s="313">
        <v>0.5141367394070302</v>
      </c>
      <c r="M445" s="313">
        <v>0.39873268972126147</v>
      </c>
      <c r="N445" s="313">
        <v>0.32429254526926393</v>
      </c>
      <c r="O445" s="314">
        <v>0.45616506664936918</v>
      </c>
      <c r="P445" s="314">
        <v>0</v>
      </c>
      <c r="Q445" s="313">
        <v>0</v>
      </c>
      <c r="R445" s="314">
        <v>0</v>
      </c>
      <c r="S445" s="314">
        <v>0</v>
      </c>
      <c r="T445" s="314">
        <v>0</v>
      </c>
      <c r="U445" s="314">
        <v>0.37002689187178872</v>
      </c>
      <c r="V445" s="315"/>
    </row>
    <row r="446" spans="1:22">
      <c r="A446" s="310"/>
      <c r="B446" s="316" t="s">
        <v>547</v>
      </c>
      <c r="C446" s="317">
        <v>6.6117265963788974</v>
      </c>
      <c r="D446" s="318">
        <v>19.274892288979618</v>
      </c>
      <c r="E446" s="318">
        <v>21.731925613482922</v>
      </c>
      <c r="F446" s="318">
        <v>28.134703069619277</v>
      </c>
      <c r="G446" s="318">
        <v>0</v>
      </c>
      <c r="H446" s="318">
        <v>0</v>
      </c>
      <c r="I446" s="318">
        <v>0</v>
      </c>
      <c r="J446" s="320">
        <v>15.520675500411961</v>
      </c>
      <c r="K446" s="320">
        <v>0</v>
      </c>
      <c r="L446" s="318">
        <v>26.542032680031134</v>
      </c>
      <c r="M446" s="318">
        <v>16.45925557829348</v>
      </c>
      <c r="N446" s="318">
        <v>8.3206538054530679</v>
      </c>
      <c r="O446" s="320">
        <v>21.432063760371438</v>
      </c>
      <c r="P446" s="320">
        <v>0</v>
      </c>
      <c r="Q446" s="318">
        <v>0</v>
      </c>
      <c r="R446" s="320">
        <v>0</v>
      </c>
      <c r="S446" s="320">
        <v>0</v>
      </c>
      <c r="T446" s="320">
        <v>0</v>
      </c>
      <c r="U446" s="320">
        <v>17.317147640164812</v>
      </c>
      <c r="V446" s="315"/>
    </row>
    <row r="447" spans="1:22">
      <c r="A447" s="310"/>
      <c r="B447" s="55" t="s">
        <v>548</v>
      </c>
      <c r="C447" s="307">
        <v>9.718043357717365E-5</v>
      </c>
      <c r="D447" s="308">
        <v>9.4680170363567254E-3</v>
      </c>
      <c r="E447" s="308">
        <v>0</v>
      </c>
      <c r="F447" s="308">
        <v>2.6465391649359907E-2</v>
      </c>
      <c r="G447" s="308">
        <v>0</v>
      </c>
      <c r="H447" s="308">
        <v>0</v>
      </c>
      <c r="I447" s="308">
        <v>0</v>
      </c>
      <c r="J447" s="309">
        <v>4.5637147249555435E-3</v>
      </c>
      <c r="K447" s="309">
        <v>0</v>
      </c>
      <c r="L447" s="308">
        <v>3.47377244854261E-4</v>
      </c>
      <c r="M447" s="308">
        <v>2.9624535650474956E-2</v>
      </c>
      <c r="N447" s="308">
        <v>6.4287070438579841E-2</v>
      </c>
      <c r="O447" s="309">
        <v>1.5648629793848703E-2</v>
      </c>
      <c r="P447" s="309">
        <v>0</v>
      </c>
      <c r="Q447" s="308">
        <v>0</v>
      </c>
      <c r="R447" s="309">
        <v>0</v>
      </c>
      <c r="S447" s="309">
        <v>0</v>
      </c>
      <c r="T447" s="309">
        <v>0</v>
      </c>
      <c r="U447" s="309">
        <v>8.6390867140529008E-3</v>
      </c>
      <c r="V447" s="315"/>
    </row>
    <row r="448" spans="1:22">
      <c r="A448" s="310"/>
      <c r="B448" s="311" t="s">
        <v>549</v>
      </c>
      <c r="C448" s="312">
        <v>0</v>
      </c>
      <c r="D448" s="313">
        <v>8.1428370589062288E-3</v>
      </c>
      <c r="E448" s="313">
        <v>0</v>
      </c>
      <c r="F448" s="313">
        <v>1.3600675654540336E-2</v>
      </c>
      <c r="G448" s="313">
        <v>0</v>
      </c>
      <c r="H448" s="313">
        <v>0</v>
      </c>
      <c r="I448" s="313">
        <v>0</v>
      </c>
      <c r="J448" s="314">
        <v>3.2581542109929996E-3</v>
      </c>
      <c r="K448" s="314">
        <v>0</v>
      </c>
      <c r="L448" s="313">
        <v>1.8779672206994875E-3</v>
      </c>
      <c r="M448" s="313">
        <v>1.7811789715651238E-2</v>
      </c>
      <c r="N448" s="313">
        <v>5.4832640903033629E-2</v>
      </c>
      <c r="O448" s="314">
        <v>1.0804170855901145E-2</v>
      </c>
      <c r="P448" s="314">
        <v>0</v>
      </c>
      <c r="Q448" s="313">
        <v>0</v>
      </c>
      <c r="R448" s="314">
        <v>0</v>
      </c>
      <c r="S448" s="314">
        <v>0</v>
      </c>
      <c r="T448" s="314">
        <v>0</v>
      </c>
      <c r="U448" s="314">
        <v>5.8141371142160737E-3</v>
      </c>
      <c r="V448" s="315"/>
    </row>
    <row r="449" spans="1:22">
      <c r="A449" s="310"/>
      <c r="B449" s="316" t="s">
        <v>550</v>
      </c>
      <c r="C449" s="317">
        <v>-9.7180433577173653E-3</v>
      </c>
      <c r="D449" s="318">
        <v>-0.13251799774504966</v>
      </c>
      <c r="E449" s="318">
        <v>0</v>
      </c>
      <c r="F449" s="318">
        <v>-1.2864715994819571</v>
      </c>
      <c r="G449" s="318">
        <v>0</v>
      </c>
      <c r="H449" s="318">
        <v>0</v>
      </c>
      <c r="I449" s="318">
        <v>0</v>
      </c>
      <c r="J449" s="320">
        <v>-0.1305560513962544</v>
      </c>
      <c r="K449" s="320">
        <v>0</v>
      </c>
      <c r="L449" s="318">
        <v>0.15305899758452263</v>
      </c>
      <c r="M449" s="318">
        <v>-1.1812745934823718</v>
      </c>
      <c r="N449" s="318">
        <v>-0.94544295355462116</v>
      </c>
      <c r="O449" s="320">
        <v>-0.48444589379475578</v>
      </c>
      <c r="P449" s="320">
        <v>0</v>
      </c>
      <c r="Q449" s="318">
        <v>0</v>
      </c>
      <c r="R449" s="320">
        <v>0</v>
      </c>
      <c r="S449" s="320">
        <v>0</v>
      </c>
      <c r="T449" s="320">
        <v>0</v>
      </c>
      <c r="U449" s="320">
        <v>-0.28249495998368274</v>
      </c>
      <c r="V449" s="315"/>
    </row>
    <row r="450" spans="1:22">
      <c r="A450" s="310"/>
      <c r="B450" s="55" t="s">
        <v>551</v>
      </c>
      <c r="C450" s="307">
        <v>3.4921121881413192E-2</v>
      </c>
      <c r="D450" s="308">
        <v>3.8724514320362675E-2</v>
      </c>
      <c r="E450" s="308">
        <v>9.8142906669288363E-2</v>
      </c>
      <c r="F450" s="308">
        <v>1.3018815287808809E-4</v>
      </c>
      <c r="G450" s="308">
        <v>0</v>
      </c>
      <c r="H450" s="308">
        <v>0</v>
      </c>
      <c r="I450" s="308">
        <v>0</v>
      </c>
      <c r="J450" s="309">
        <v>5.0877320733324849E-2</v>
      </c>
      <c r="K450" s="309">
        <v>0</v>
      </c>
      <c r="L450" s="308">
        <v>4.7610044555402686E-2</v>
      </c>
      <c r="M450" s="308">
        <v>6.4059025412290957E-2</v>
      </c>
      <c r="N450" s="308">
        <v>1.3404214923106133E-2</v>
      </c>
      <c r="O450" s="309">
        <v>5.40450695520669E-2</v>
      </c>
      <c r="P450" s="309">
        <v>0</v>
      </c>
      <c r="Q450" s="308">
        <v>0</v>
      </c>
      <c r="R450" s="309">
        <v>0</v>
      </c>
      <c r="S450" s="309">
        <v>0</v>
      </c>
      <c r="T450" s="309">
        <v>0</v>
      </c>
      <c r="U450" s="309">
        <v>5.2041944433566391E-2</v>
      </c>
      <c r="V450" s="315"/>
    </row>
    <row r="451" spans="1:22">
      <c r="A451" s="310"/>
      <c r="B451" s="311" t="s">
        <v>552</v>
      </c>
      <c r="C451" s="312">
        <v>2.6095891293029382E-2</v>
      </c>
      <c r="D451" s="313">
        <v>3.9996625896246307E-2</v>
      </c>
      <c r="E451" s="313">
        <v>0.16046542500232314</v>
      </c>
      <c r="F451" s="313">
        <v>4.5043636022396694E-4</v>
      </c>
      <c r="G451" s="313">
        <v>0</v>
      </c>
      <c r="H451" s="313">
        <v>0</v>
      </c>
      <c r="I451" s="313">
        <v>0</v>
      </c>
      <c r="J451" s="314">
        <v>6.3986355484213497E-2</v>
      </c>
      <c r="K451" s="314">
        <v>0</v>
      </c>
      <c r="L451" s="313">
        <v>0.13453263309199182</v>
      </c>
      <c r="M451" s="313">
        <v>0.14573613320252857</v>
      </c>
      <c r="N451" s="313">
        <v>1.998902563298581E-2</v>
      </c>
      <c r="O451" s="314">
        <v>0.13557579000854064</v>
      </c>
      <c r="P451" s="314">
        <v>0</v>
      </c>
      <c r="Q451" s="313">
        <v>0</v>
      </c>
      <c r="R451" s="314">
        <v>0</v>
      </c>
      <c r="S451" s="314">
        <v>0</v>
      </c>
      <c r="T451" s="314">
        <v>0</v>
      </c>
      <c r="U451" s="314">
        <v>8.8235092176181806E-2</v>
      </c>
      <c r="V451" s="315"/>
    </row>
    <row r="452" spans="1:22">
      <c r="A452" s="310"/>
      <c r="B452" s="316" t="s">
        <v>553</v>
      </c>
      <c r="C452" s="317">
        <v>-0.882523058838381</v>
      </c>
      <c r="D452" s="318">
        <v>0.12721115758836318</v>
      </c>
      <c r="E452" s="318">
        <v>6.2322518333034775</v>
      </c>
      <c r="F452" s="318">
        <v>3.2024820734587886E-2</v>
      </c>
      <c r="G452" s="318">
        <v>0</v>
      </c>
      <c r="H452" s="318">
        <v>0</v>
      </c>
      <c r="I452" s="318">
        <v>0</v>
      </c>
      <c r="J452" s="320">
        <v>1.3109034750888648</v>
      </c>
      <c r="K452" s="320">
        <v>0</v>
      </c>
      <c r="L452" s="318">
        <v>8.6922588536589132</v>
      </c>
      <c r="M452" s="318">
        <v>8.1677107790237606</v>
      </c>
      <c r="N452" s="318">
        <v>0.65848107098796771</v>
      </c>
      <c r="O452" s="320">
        <v>8.1530720456473755</v>
      </c>
      <c r="P452" s="320">
        <v>0</v>
      </c>
      <c r="Q452" s="318">
        <v>0</v>
      </c>
      <c r="R452" s="320">
        <v>0</v>
      </c>
      <c r="S452" s="320">
        <v>0</v>
      </c>
      <c r="T452" s="320">
        <v>0</v>
      </c>
      <c r="U452" s="320">
        <v>3.6193147742615417</v>
      </c>
      <c r="V452" s="315"/>
    </row>
    <row r="453" spans="1:22">
      <c r="A453" s="310"/>
      <c r="B453" s="55" t="s">
        <v>554</v>
      </c>
      <c r="C453" s="307">
        <v>6.5129945483682261E-3</v>
      </c>
      <c r="D453" s="308">
        <v>7.3714602277308913E-3</v>
      </c>
      <c r="E453" s="308">
        <v>6.5275097149421245E-3</v>
      </c>
      <c r="F453" s="308">
        <v>1.5126623477263569E-3</v>
      </c>
      <c r="G453" s="308">
        <v>0</v>
      </c>
      <c r="H453" s="308">
        <v>0</v>
      </c>
      <c r="I453" s="308">
        <v>0</v>
      </c>
      <c r="J453" s="309">
        <v>6.5212938192494027E-3</v>
      </c>
      <c r="K453" s="309">
        <v>0</v>
      </c>
      <c r="L453" s="308">
        <v>1.3838142704850069E-3</v>
      </c>
      <c r="M453" s="308">
        <v>2.0990526626990759E-3</v>
      </c>
      <c r="N453" s="308">
        <v>4.1769508258970951E-3</v>
      </c>
      <c r="O453" s="309">
        <v>1.7955717034754963E-3</v>
      </c>
      <c r="P453" s="309">
        <v>0</v>
      </c>
      <c r="Q453" s="308">
        <v>0</v>
      </c>
      <c r="R453" s="309">
        <v>0</v>
      </c>
      <c r="S453" s="309">
        <v>0</v>
      </c>
      <c r="T453" s="309">
        <v>0</v>
      </c>
      <c r="U453" s="309">
        <v>4.783880819764337E-3</v>
      </c>
      <c r="V453" s="315"/>
    </row>
    <row r="454" spans="1:22">
      <c r="A454" s="310"/>
      <c r="B454" s="311" t="s">
        <v>555</v>
      </c>
      <c r="C454" s="312">
        <v>5.0160701900274678E-3</v>
      </c>
      <c r="D454" s="313">
        <v>5.3805707858849989E-3</v>
      </c>
      <c r="E454" s="313">
        <v>6.6202923176996911E-3</v>
      </c>
      <c r="F454" s="313">
        <v>1.1511151427945822E-3</v>
      </c>
      <c r="G454" s="313">
        <v>0</v>
      </c>
      <c r="H454" s="313">
        <v>0</v>
      </c>
      <c r="I454" s="313">
        <v>0</v>
      </c>
      <c r="J454" s="314">
        <v>5.3326577526003971E-3</v>
      </c>
      <c r="K454" s="314">
        <v>0</v>
      </c>
      <c r="L454" s="313">
        <v>1.3542158089749937E-3</v>
      </c>
      <c r="M454" s="313">
        <v>1.9620716686858516E-3</v>
      </c>
      <c r="N454" s="313">
        <v>5.2128243317394376E-3</v>
      </c>
      <c r="O454" s="314">
        <v>1.7581271148877284E-3</v>
      </c>
      <c r="P454" s="314">
        <v>0</v>
      </c>
      <c r="Q454" s="313">
        <v>0</v>
      </c>
      <c r="R454" s="314">
        <v>0</v>
      </c>
      <c r="S454" s="314">
        <v>0</v>
      </c>
      <c r="T454" s="314">
        <v>0</v>
      </c>
      <c r="U454" s="314">
        <v>4.1218945609758891E-3</v>
      </c>
      <c r="V454" s="315"/>
    </row>
    <row r="455" spans="1:22" ht="15" thickBot="1">
      <c r="A455" s="310"/>
      <c r="B455" s="322" t="s">
        <v>556</v>
      </c>
      <c r="C455" s="323">
        <v>-0.14969243583407582</v>
      </c>
      <c r="D455" s="324">
        <v>-0.19908894418458922</v>
      </c>
      <c r="E455" s="324">
        <v>9.2782602757566536E-3</v>
      </c>
      <c r="F455" s="324">
        <v>-3.6154720493177472E-2</v>
      </c>
      <c r="G455" s="324">
        <v>0</v>
      </c>
      <c r="H455" s="324">
        <v>0</v>
      </c>
      <c r="I455" s="324">
        <v>0</v>
      </c>
      <c r="J455" s="325">
        <v>-0.11886360666490056</v>
      </c>
      <c r="K455" s="325">
        <v>0</v>
      </c>
      <c r="L455" s="324">
        <v>-2.9598461510013186E-3</v>
      </c>
      <c r="M455" s="324">
        <v>-1.3698099401322425E-2</v>
      </c>
      <c r="N455" s="324">
        <v>0.10358735058423425</v>
      </c>
      <c r="O455" s="325">
        <v>-3.744458858776791E-3</v>
      </c>
      <c r="P455" s="325">
        <v>0</v>
      </c>
      <c r="Q455" s="324">
        <v>0</v>
      </c>
      <c r="R455" s="325">
        <v>0</v>
      </c>
      <c r="S455" s="325">
        <v>0</v>
      </c>
      <c r="T455" s="325">
        <v>0</v>
      </c>
      <c r="U455" s="325">
        <v>-6.61986258788448E-2</v>
      </c>
      <c r="V455" s="315"/>
    </row>
    <row r="456" spans="1:22" ht="15" thickTop="1">
      <c r="A456" s="310"/>
      <c r="B456" s="311" t="s">
        <v>557</v>
      </c>
      <c r="C456" s="312">
        <v>0.65189184313776016</v>
      </c>
      <c r="D456" s="313">
        <v>0.44346636874951845</v>
      </c>
      <c r="E456" s="313">
        <v>0.3855723389569321</v>
      </c>
      <c r="F456" s="313">
        <v>9.6230598669623066E-2</v>
      </c>
      <c r="G456" s="313">
        <v>0</v>
      </c>
      <c r="H456" s="313">
        <v>0</v>
      </c>
      <c r="I456" s="313">
        <v>0</v>
      </c>
      <c r="J456" s="314">
        <v>0.52391401742692301</v>
      </c>
      <c r="K456" s="314">
        <v>0</v>
      </c>
      <c r="L456" s="313">
        <v>0</v>
      </c>
      <c r="M456" s="313">
        <v>0</v>
      </c>
      <c r="N456" s="313">
        <v>0</v>
      </c>
      <c r="O456" s="314">
        <v>0</v>
      </c>
      <c r="P456" s="314">
        <v>0</v>
      </c>
      <c r="Q456" s="313">
        <v>0</v>
      </c>
      <c r="R456" s="314">
        <v>0</v>
      </c>
      <c r="S456" s="314">
        <v>0</v>
      </c>
      <c r="T456" s="314">
        <v>0</v>
      </c>
      <c r="U456" s="314">
        <v>0.52391401742692301</v>
      </c>
      <c r="V456" s="315"/>
    </row>
    <row r="457" spans="1:22">
      <c r="A457" s="310"/>
      <c r="B457" s="311" t="s">
        <v>558</v>
      </c>
      <c r="C457" s="312">
        <v>0.54294937970294965</v>
      </c>
      <c r="D457" s="313">
        <v>0.34479692547841806</v>
      </c>
      <c r="E457" s="313">
        <v>0.20328498616131521</v>
      </c>
      <c r="F457" s="313">
        <v>4.8190704853369917E-2</v>
      </c>
      <c r="G457" s="313">
        <v>0</v>
      </c>
      <c r="H457" s="313">
        <v>0</v>
      </c>
      <c r="I457" s="313">
        <v>0</v>
      </c>
      <c r="J457" s="314">
        <v>0.40363147431624929</v>
      </c>
      <c r="K457" s="314">
        <v>0</v>
      </c>
      <c r="L457" s="313">
        <v>0</v>
      </c>
      <c r="M457" s="313">
        <v>0</v>
      </c>
      <c r="N457" s="313">
        <v>0</v>
      </c>
      <c r="O457" s="314">
        <v>0</v>
      </c>
      <c r="P457" s="314">
        <v>0</v>
      </c>
      <c r="Q457" s="313">
        <v>0</v>
      </c>
      <c r="R457" s="314">
        <v>0</v>
      </c>
      <c r="S457" s="314">
        <v>0</v>
      </c>
      <c r="T457" s="314">
        <v>0</v>
      </c>
      <c r="U457" s="314">
        <v>0.40363147431624929</v>
      </c>
      <c r="V457" s="315"/>
    </row>
    <row r="458" spans="1:22">
      <c r="A458" s="310"/>
      <c r="B458" s="316" t="s">
        <v>559</v>
      </c>
      <c r="C458" s="317">
        <v>-10.894246343481051</v>
      </c>
      <c r="D458" s="318">
        <v>-9.8669443271100388</v>
      </c>
      <c r="E458" s="318">
        <v>-18.22873527956169</v>
      </c>
      <c r="F458" s="318">
        <v>-4.803989381625315</v>
      </c>
      <c r="G458" s="318">
        <v>0</v>
      </c>
      <c r="H458" s="318">
        <v>0</v>
      </c>
      <c r="I458" s="318">
        <v>0</v>
      </c>
      <c r="J458" s="320">
        <v>-12.028254311067371</v>
      </c>
      <c r="K458" s="320">
        <v>0</v>
      </c>
      <c r="L458" s="318">
        <v>0</v>
      </c>
      <c r="M458" s="318">
        <v>0</v>
      </c>
      <c r="N458" s="318">
        <v>0</v>
      </c>
      <c r="O458" s="320">
        <v>0</v>
      </c>
      <c r="P458" s="320">
        <v>0</v>
      </c>
      <c r="Q458" s="318">
        <v>0</v>
      </c>
      <c r="R458" s="320">
        <v>0</v>
      </c>
      <c r="S458" s="320">
        <v>0</v>
      </c>
      <c r="T458" s="320">
        <v>0</v>
      </c>
      <c r="U458" s="320">
        <v>-12.028254311067371</v>
      </c>
      <c r="V458" s="315"/>
    </row>
    <row r="459" spans="1:22">
      <c r="A459" s="310"/>
      <c r="B459" s="55" t="s">
        <v>560</v>
      </c>
      <c r="C459" s="307">
        <v>1.4263717714970462E-2</v>
      </c>
      <c r="D459" s="308">
        <v>8.4001078665536633E-2</v>
      </c>
      <c r="E459" s="308">
        <v>2.3596641892868037E-3</v>
      </c>
      <c r="F459" s="308">
        <v>4.434589800443459E-4</v>
      </c>
      <c r="G459" s="308">
        <v>0</v>
      </c>
      <c r="H459" s="308">
        <v>0</v>
      </c>
      <c r="I459" s="308">
        <v>0</v>
      </c>
      <c r="J459" s="309">
        <v>3.3787140405896747E-2</v>
      </c>
      <c r="K459" s="309">
        <v>0</v>
      </c>
      <c r="L459" s="308">
        <v>0</v>
      </c>
      <c r="M459" s="308">
        <v>0</v>
      </c>
      <c r="N459" s="308">
        <v>0</v>
      </c>
      <c r="O459" s="309">
        <v>0</v>
      </c>
      <c r="P459" s="309">
        <v>0</v>
      </c>
      <c r="Q459" s="308">
        <v>0</v>
      </c>
      <c r="R459" s="309">
        <v>0</v>
      </c>
      <c r="S459" s="309">
        <v>0</v>
      </c>
      <c r="T459" s="309">
        <v>0</v>
      </c>
      <c r="U459" s="309">
        <v>3.3787140405896747E-2</v>
      </c>
      <c r="V459" s="315"/>
    </row>
    <row r="460" spans="1:22">
      <c r="A460" s="310"/>
      <c r="B460" s="311" t="s">
        <v>561</v>
      </c>
      <c r="C460" s="312">
        <v>1.10573394358549E-2</v>
      </c>
      <c r="D460" s="313">
        <v>2.8532192572540728E-2</v>
      </c>
      <c r="E460" s="313">
        <v>8.1670926662532706E-4</v>
      </c>
      <c r="F460" s="313">
        <v>0</v>
      </c>
      <c r="G460" s="313">
        <v>0</v>
      </c>
      <c r="H460" s="313">
        <v>0</v>
      </c>
      <c r="I460" s="313">
        <v>0</v>
      </c>
      <c r="J460" s="314">
        <v>1.3835149647557136E-2</v>
      </c>
      <c r="K460" s="314">
        <v>0</v>
      </c>
      <c r="L460" s="313">
        <v>0</v>
      </c>
      <c r="M460" s="313">
        <v>0</v>
      </c>
      <c r="N460" s="313">
        <v>0</v>
      </c>
      <c r="O460" s="314">
        <v>0</v>
      </c>
      <c r="P460" s="314">
        <v>0</v>
      </c>
      <c r="Q460" s="313">
        <v>0</v>
      </c>
      <c r="R460" s="314">
        <v>0</v>
      </c>
      <c r="S460" s="314">
        <v>0</v>
      </c>
      <c r="T460" s="314">
        <v>0</v>
      </c>
      <c r="U460" s="314">
        <v>1.3835149647557136E-2</v>
      </c>
      <c r="V460" s="315"/>
    </row>
    <row r="461" spans="1:22">
      <c r="A461" s="310"/>
      <c r="B461" s="316" t="s">
        <v>562</v>
      </c>
      <c r="C461" s="317">
        <v>-0.32063782791155615</v>
      </c>
      <c r="D461" s="318">
        <v>-5.5468886092995904</v>
      </c>
      <c r="E461" s="318">
        <v>-0.15429549226614767</v>
      </c>
      <c r="F461" s="318">
        <v>-4.4345898004434586E-2</v>
      </c>
      <c r="G461" s="318">
        <v>0</v>
      </c>
      <c r="H461" s="318">
        <v>0</v>
      </c>
      <c r="I461" s="318">
        <v>0</v>
      </c>
      <c r="J461" s="320">
        <v>-1.9951990758339608</v>
      </c>
      <c r="K461" s="320">
        <v>0</v>
      </c>
      <c r="L461" s="318">
        <v>0</v>
      </c>
      <c r="M461" s="318">
        <v>0</v>
      </c>
      <c r="N461" s="318">
        <v>0</v>
      </c>
      <c r="O461" s="320">
        <v>0</v>
      </c>
      <c r="P461" s="320">
        <v>0</v>
      </c>
      <c r="Q461" s="318">
        <v>0</v>
      </c>
      <c r="R461" s="320">
        <v>0</v>
      </c>
      <c r="S461" s="320">
        <v>0</v>
      </c>
      <c r="T461" s="320">
        <v>0</v>
      </c>
      <c r="U461" s="320">
        <v>-1.9951990758339608</v>
      </c>
      <c r="V461" s="315"/>
    </row>
    <row r="462" spans="1:22">
      <c r="A462" s="310"/>
      <c r="B462" s="55" t="s">
        <v>563</v>
      </c>
      <c r="C462" s="307">
        <v>0.27208009328754856</v>
      </c>
      <c r="D462" s="308">
        <v>0.3970163340781262</v>
      </c>
      <c r="E462" s="308">
        <v>0.53739345393839189</v>
      </c>
      <c r="F462" s="308">
        <v>0.90332594235033259</v>
      </c>
      <c r="G462" s="308">
        <v>0</v>
      </c>
      <c r="H462" s="308">
        <v>0</v>
      </c>
      <c r="I462" s="308">
        <v>0</v>
      </c>
      <c r="J462" s="309">
        <v>0.37500495256207467</v>
      </c>
      <c r="K462" s="309">
        <v>0</v>
      </c>
      <c r="L462" s="308">
        <v>0</v>
      </c>
      <c r="M462" s="308">
        <v>0</v>
      </c>
      <c r="N462" s="308">
        <v>0</v>
      </c>
      <c r="O462" s="309">
        <v>0</v>
      </c>
      <c r="P462" s="309">
        <v>0</v>
      </c>
      <c r="Q462" s="308">
        <v>0</v>
      </c>
      <c r="R462" s="309">
        <v>0</v>
      </c>
      <c r="S462" s="309">
        <v>0</v>
      </c>
      <c r="T462" s="309">
        <v>0</v>
      </c>
      <c r="U462" s="309">
        <v>0.37500495256207467</v>
      </c>
      <c r="V462" s="315"/>
    </row>
    <row r="463" spans="1:22">
      <c r="A463" s="310"/>
      <c r="B463" s="311" t="s">
        <v>564</v>
      </c>
      <c r="C463" s="312">
        <v>0.39084979800812741</v>
      </c>
      <c r="D463" s="313">
        <v>0.55289026763749893</v>
      </c>
      <c r="E463" s="313">
        <v>0.68850103601082902</v>
      </c>
      <c r="F463" s="313">
        <v>0.95180929514663004</v>
      </c>
      <c r="G463" s="313">
        <v>0</v>
      </c>
      <c r="H463" s="313">
        <v>0</v>
      </c>
      <c r="I463" s="313">
        <v>0</v>
      </c>
      <c r="J463" s="314">
        <v>0.51383370698336028</v>
      </c>
      <c r="K463" s="314">
        <v>0</v>
      </c>
      <c r="L463" s="313">
        <v>0</v>
      </c>
      <c r="M463" s="313">
        <v>0</v>
      </c>
      <c r="N463" s="313">
        <v>0</v>
      </c>
      <c r="O463" s="314">
        <v>0</v>
      </c>
      <c r="P463" s="314">
        <v>0</v>
      </c>
      <c r="Q463" s="313">
        <v>0</v>
      </c>
      <c r="R463" s="314">
        <v>0</v>
      </c>
      <c r="S463" s="314">
        <v>0</v>
      </c>
      <c r="T463" s="314">
        <v>0</v>
      </c>
      <c r="U463" s="314">
        <v>0.51383370698336028</v>
      </c>
      <c r="V463" s="315"/>
    </row>
    <row r="464" spans="1:22">
      <c r="A464" s="310"/>
      <c r="B464" s="316" t="s">
        <v>565</v>
      </c>
      <c r="C464" s="317">
        <v>11.876970472057884</v>
      </c>
      <c r="D464" s="318">
        <v>15.587393355937273</v>
      </c>
      <c r="E464" s="318">
        <v>15.110758207243713</v>
      </c>
      <c r="F464" s="318">
        <v>4.8483352796297456</v>
      </c>
      <c r="G464" s="318">
        <v>0</v>
      </c>
      <c r="H464" s="318">
        <v>0</v>
      </c>
      <c r="I464" s="318">
        <v>0</v>
      </c>
      <c r="J464" s="320">
        <v>13.882875442128562</v>
      </c>
      <c r="K464" s="320">
        <v>0</v>
      </c>
      <c r="L464" s="318">
        <v>0</v>
      </c>
      <c r="M464" s="318">
        <v>0</v>
      </c>
      <c r="N464" s="318">
        <v>0</v>
      </c>
      <c r="O464" s="320">
        <v>0</v>
      </c>
      <c r="P464" s="320">
        <v>0</v>
      </c>
      <c r="Q464" s="318">
        <v>0</v>
      </c>
      <c r="R464" s="320">
        <v>0</v>
      </c>
      <c r="S464" s="320">
        <v>0</v>
      </c>
      <c r="T464" s="320">
        <v>0</v>
      </c>
      <c r="U464" s="320">
        <v>13.882875442128562</v>
      </c>
      <c r="V464" s="315"/>
    </row>
    <row r="465" spans="1:22">
      <c r="A465" s="310"/>
      <c r="B465" s="55" t="s">
        <v>566</v>
      </c>
      <c r="C465" s="307">
        <v>1.7201502393392562E-3</v>
      </c>
      <c r="D465" s="308">
        <v>3.1782109561599506E-3</v>
      </c>
      <c r="E465" s="308">
        <v>0</v>
      </c>
      <c r="F465" s="308">
        <v>0</v>
      </c>
      <c r="G465" s="308">
        <v>0</v>
      </c>
      <c r="H465" s="308">
        <v>0</v>
      </c>
      <c r="I465" s="308">
        <v>0</v>
      </c>
      <c r="J465" s="309">
        <v>1.8194951129641313E-3</v>
      </c>
      <c r="K465" s="309">
        <v>0</v>
      </c>
      <c r="L465" s="308">
        <v>0</v>
      </c>
      <c r="M465" s="308">
        <v>0</v>
      </c>
      <c r="N465" s="308">
        <v>0</v>
      </c>
      <c r="O465" s="309">
        <v>0</v>
      </c>
      <c r="P465" s="309">
        <v>0</v>
      </c>
      <c r="Q465" s="308">
        <v>0</v>
      </c>
      <c r="R465" s="309">
        <v>0</v>
      </c>
      <c r="S465" s="309">
        <v>0</v>
      </c>
      <c r="T465" s="309">
        <v>0</v>
      </c>
      <c r="U465" s="309">
        <v>1.8194951129641313E-3</v>
      </c>
      <c r="V465" s="315"/>
    </row>
    <row r="466" spans="1:22">
      <c r="A466" s="310"/>
      <c r="B466" s="311" t="s">
        <v>567</v>
      </c>
      <c r="C466" s="312">
        <v>1.7722772868045901E-3</v>
      </c>
      <c r="D466" s="313">
        <v>1.0077159426589868E-3</v>
      </c>
      <c r="E466" s="313">
        <v>0</v>
      </c>
      <c r="F466" s="313">
        <v>0</v>
      </c>
      <c r="G466" s="313">
        <v>0</v>
      </c>
      <c r="H466" s="313">
        <v>0</v>
      </c>
      <c r="I466" s="313">
        <v>0</v>
      </c>
      <c r="J466" s="314">
        <v>1.1512460290667983E-3</v>
      </c>
      <c r="K466" s="314">
        <v>0</v>
      </c>
      <c r="L466" s="313">
        <v>0</v>
      </c>
      <c r="M466" s="313">
        <v>0</v>
      </c>
      <c r="N466" s="313">
        <v>0</v>
      </c>
      <c r="O466" s="314">
        <v>0</v>
      </c>
      <c r="P466" s="314">
        <v>0</v>
      </c>
      <c r="Q466" s="313">
        <v>0</v>
      </c>
      <c r="R466" s="314">
        <v>0</v>
      </c>
      <c r="S466" s="314">
        <v>0</v>
      </c>
      <c r="T466" s="314">
        <v>0</v>
      </c>
      <c r="U466" s="314">
        <v>1.1512460290667983E-3</v>
      </c>
      <c r="V466" s="315"/>
    </row>
    <row r="467" spans="1:22">
      <c r="A467" s="310"/>
      <c r="B467" s="316" t="s">
        <v>568</v>
      </c>
      <c r="C467" s="317">
        <v>5.2127047465333866E-3</v>
      </c>
      <c r="D467" s="318">
        <v>-0.2170495013500964</v>
      </c>
      <c r="E467" s="318">
        <v>0</v>
      </c>
      <c r="F467" s="318">
        <v>0</v>
      </c>
      <c r="G467" s="318">
        <v>0</v>
      </c>
      <c r="H467" s="318">
        <v>0</v>
      </c>
      <c r="I467" s="318">
        <v>0</v>
      </c>
      <c r="J467" s="320">
        <v>-6.6824908389733303E-2</v>
      </c>
      <c r="K467" s="320">
        <v>0</v>
      </c>
      <c r="L467" s="318">
        <v>0</v>
      </c>
      <c r="M467" s="318">
        <v>0</v>
      </c>
      <c r="N467" s="318">
        <v>0</v>
      </c>
      <c r="O467" s="320">
        <v>0</v>
      </c>
      <c r="P467" s="320">
        <v>0</v>
      </c>
      <c r="Q467" s="318">
        <v>0</v>
      </c>
      <c r="R467" s="320">
        <v>0</v>
      </c>
      <c r="S467" s="320">
        <v>0</v>
      </c>
      <c r="T467" s="320">
        <v>0</v>
      </c>
      <c r="U467" s="320">
        <v>-6.6824908389733303E-2</v>
      </c>
      <c r="V467" s="315"/>
    </row>
    <row r="468" spans="1:22">
      <c r="A468" s="310"/>
      <c r="B468" s="55" t="s">
        <v>569</v>
      </c>
      <c r="C468" s="307">
        <v>2.5409260464247289E-2</v>
      </c>
      <c r="D468" s="308">
        <v>2.830533939440635E-2</v>
      </c>
      <c r="E468" s="308">
        <v>4.9504791562996614E-2</v>
      </c>
      <c r="F468" s="308">
        <v>0</v>
      </c>
      <c r="G468" s="308">
        <v>0</v>
      </c>
      <c r="H468" s="308">
        <v>0</v>
      </c>
      <c r="I468" s="308">
        <v>0</v>
      </c>
      <c r="J468" s="309">
        <v>3.0376729968029308E-2</v>
      </c>
      <c r="K468" s="309">
        <v>0</v>
      </c>
      <c r="L468" s="308">
        <v>0</v>
      </c>
      <c r="M468" s="308">
        <v>0</v>
      </c>
      <c r="N468" s="308">
        <v>0</v>
      </c>
      <c r="O468" s="309">
        <v>0</v>
      </c>
      <c r="P468" s="309">
        <v>0</v>
      </c>
      <c r="Q468" s="308">
        <v>0</v>
      </c>
      <c r="R468" s="309">
        <v>0</v>
      </c>
      <c r="S468" s="309">
        <v>0</v>
      </c>
      <c r="T468" s="309">
        <v>0</v>
      </c>
      <c r="U468" s="309">
        <v>3.0376729968029308E-2</v>
      </c>
      <c r="V468" s="315"/>
    </row>
    <row r="469" spans="1:22">
      <c r="A469" s="310"/>
      <c r="B469" s="311" t="s">
        <v>570</v>
      </c>
      <c r="C469" s="312">
        <v>2.4841718333223933E-2</v>
      </c>
      <c r="D469" s="313">
        <v>3.8480917614281906E-2</v>
      </c>
      <c r="E469" s="313">
        <v>8.1323069011933036E-2</v>
      </c>
      <c r="F469" s="313">
        <v>0</v>
      </c>
      <c r="G469" s="313">
        <v>0</v>
      </c>
      <c r="H469" s="313">
        <v>0</v>
      </c>
      <c r="I469" s="313">
        <v>0</v>
      </c>
      <c r="J469" s="314">
        <v>3.8764386968702845E-2</v>
      </c>
      <c r="K469" s="314">
        <v>0</v>
      </c>
      <c r="L469" s="313">
        <v>0</v>
      </c>
      <c r="M469" s="313">
        <v>0</v>
      </c>
      <c r="N469" s="313">
        <v>0</v>
      </c>
      <c r="O469" s="314">
        <v>0</v>
      </c>
      <c r="P469" s="314">
        <v>0</v>
      </c>
      <c r="Q469" s="313">
        <v>0</v>
      </c>
      <c r="R469" s="314">
        <v>0</v>
      </c>
      <c r="S469" s="314">
        <v>0</v>
      </c>
      <c r="T469" s="314">
        <v>0</v>
      </c>
      <c r="U469" s="314">
        <v>3.8764386968702845E-2</v>
      </c>
      <c r="V469" s="315"/>
    </row>
    <row r="470" spans="1:22">
      <c r="A470" s="310"/>
      <c r="B470" s="316" t="s">
        <v>571</v>
      </c>
      <c r="C470" s="317">
        <v>-5.675421310233561E-2</v>
      </c>
      <c r="D470" s="318">
        <v>1.0175578219875556</v>
      </c>
      <c r="E470" s="318">
        <v>3.1818277448936421</v>
      </c>
      <c r="F470" s="318">
        <v>0</v>
      </c>
      <c r="G470" s="318">
        <v>0</v>
      </c>
      <c r="H470" s="318">
        <v>0</v>
      </c>
      <c r="I470" s="318">
        <v>0</v>
      </c>
      <c r="J470" s="320">
        <v>0.83876570006735374</v>
      </c>
      <c r="K470" s="320">
        <v>0</v>
      </c>
      <c r="L470" s="318">
        <v>0</v>
      </c>
      <c r="M470" s="318">
        <v>0</v>
      </c>
      <c r="N470" s="318">
        <v>0</v>
      </c>
      <c r="O470" s="320">
        <v>0</v>
      </c>
      <c r="P470" s="320">
        <v>0</v>
      </c>
      <c r="Q470" s="318">
        <v>0</v>
      </c>
      <c r="R470" s="320">
        <v>0</v>
      </c>
      <c r="S470" s="320">
        <v>0</v>
      </c>
      <c r="T470" s="320">
        <v>0</v>
      </c>
      <c r="U470" s="320">
        <v>0.83876570006735374</v>
      </c>
      <c r="V470" s="315"/>
    </row>
    <row r="471" spans="1:22">
      <c r="A471" s="310"/>
      <c r="B471" s="55" t="s">
        <v>572</v>
      </c>
      <c r="C471" s="307">
        <v>3.4634935156134236E-2</v>
      </c>
      <c r="D471" s="308">
        <v>4.4032668156252411E-2</v>
      </c>
      <c r="E471" s="308">
        <v>2.5169751352392571E-2</v>
      </c>
      <c r="F471" s="308">
        <v>0</v>
      </c>
      <c r="G471" s="308">
        <v>0</v>
      </c>
      <c r="H471" s="308">
        <v>0</v>
      </c>
      <c r="I471" s="308">
        <v>0</v>
      </c>
      <c r="J471" s="309">
        <v>3.5097664524112122E-2</v>
      </c>
      <c r="K471" s="309">
        <v>0</v>
      </c>
      <c r="L471" s="308">
        <v>0</v>
      </c>
      <c r="M471" s="308">
        <v>0</v>
      </c>
      <c r="N471" s="308">
        <v>0</v>
      </c>
      <c r="O471" s="309">
        <v>0</v>
      </c>
      <c r="P471" s="309">
        <v>0</v>
      </c>
      <c r="Q471" s="308">
        <v>0</v>
      </c>
      <c r="R471" s="309">
        <v>0</v>
      </c>
      <c r="S471" s="309">
        <v>0</v>
      </c>
      <c r="T471" s="309">
        <v>0</v>
      </c>
      <c r="U471" s="309">
        <v>3.5097664524112122E-2</v>
      </c>
      <c r="V471" s="315"/>
    </row>
    <row r="472" spans="1:22">
      <c r="A472" s="310"/>
      <c r="B472" s="311" t="s">
        <v>573</v>
      </c>
      <c r="C472" s="312">
        <v>2.8529487233039545E-2</v>
      </c>
      <c r="D472" s="313">
        <v>3.4291980754601409E-2</v>
      </c>
      <c r="E472" s="313">
        <v>2.6074199549297478E-2</v>
      </c>
      <c r="F472" s="313">
        <v>0</v>
      </c>
      <c r="G472" s="313">
        <v>0</v>
      </c>
      <c r="H472" s="313">
        <v>0</v>
      </c>
      <c r="I472" s="313">
        <v>0</v>
      </c>
      <c r="J472" s="314">
        <v>2.8784036055063605E-2</v>
      </c>
      <c r="K472" s="314">
        <v>0</v>
      </c>
      <c r="L472" s="313">
        <v>0</v>
      </c>
      <c r="M472" s="313">
        <v>0</v>
      </c>
      <c r="N472" s="313">
        <v>0</v>
      </c>
      <c r="O472" s="314">
        <v>0</v>
      </c>
      <c r="P472" s="314">
        <v>0</v>
      </c>
      <c r="Q472" s="313">
        <v>0</v>
      </c>
      <c r="R472" s="314">
        <v>0</v>
      </c>
      <c r="S472" s="314">
        <v>0</v>
      </c>
      <c r="T472" s="314">
        <v>0</v>
      </c>
      <c r="U472" s="314">
        <v>2.8784036055063605E-2</v>
      </c>
      <c r="V472" s="315"/>
    </row>
    <row r="473" spans="1:22" ht="15" thickBot="1">
      <c r="A473" s="326"/>
      <c r="B473" s="327" t="s">
        <v>574</v>
      </c>
      <c r="C473" s="328">
        <v>-0.61054479230946912</v>
      </c>
      <c r="D473" s="329">
        <v>-0.97406874016510026</v>
      </c>
      <c r="E473" s="329">
        <v>9.0444819690490771E-2</v>
      </c>
      <c r="F473" s="329">
        <v>0</v>
      </c>
      <c r="G473" s="329">
        <v>0</v>
      </c>
      <c r="H473" s="329">
        <v>0</v>
      </c>
      <c r="I473" s="329">
        <v>0</v>
      </c>
      <c r="J473" s="330">
        <v>-0.63136284690485167</v>
      </c>
      <c r="K473" s="330">
        <v>0</v>
      </c>
      <c r="L473" s="329">
        <v>0</v>
      </c>
      <c r="M473" s="329">
        <v>0</v>
      </c>
      <c r="N473" s="329">
        <v>0</v>
      </c>
      <c r="O473" s="330">
        <v>0</v>
      </c>
      <c r="P473" s="330">
        <v>0</v>
      </c>
      <c r="Q473" s="329">
        <v>0</v>
      </c>
      <c r="R473" s="330">
        <v>0</v>
      </c>
      <c r="S473" s="330">
        <v>0</v>
      </c>
      <c r="T473" s="330">
        <v>0</v>
      </c>
      <c r="U473" s="330">
        <v>-0.63136284690485167</v>
      </c>
      <c r="V473" s="315"/>
    </row>
    <row r="474" spans="1:22">
      <c r="A474" s="306" t="s">
        <v>436</v>
      </c>
      <c r="B474" s="55" t="s">
        <v>539</v>
      </c>
      <c r="C474" s="307">
        <v>0</v>
      </c>
      <c r="D474" s="308">
        <v>0</v>
      </c>
      <c r="E474" s="308">
        <v>0</v>
      </c>
      <c r="F474" s="308">
        <v>0</v>
      </c>
      <c r="G474" s="308">
        <v>0</v>
      </c>
      <c r="H474" s="308">
        <v>0</v>
      </c>
      <c r="I474" s="308">
        <v>0</v>
      </c>
      <c r="J474" s="309">
        <v>0</v>
      </c>
      <c r="K474" s="309">
        <v>0</v>
      </c>
      <c r="L474" s="308">
        <v>0</v>
      </c>
      <c r="M474" s="308">
        <v>0</v>
      </c>
      <c r="N474" s="308">
        <v>0</v>
      </c>
      <c r="O474" s="309">
        <v>0</v>
      </c>
      <c r="P474" s="309">
        <v>0</v>
      </c>
      <c r="Q474" s="308">
        <v>0</v>
      </c>
      <c r="R474" s="309">
        <v>0</v>
      </c>
      <c r="S474" s="309">
        <v>0</v>
      </c>
      <c r="T474" s="309">
        <v>0</v>
      </c>
      <c r="U474" s="309">
        <v>0</v>
      </c>
      <c r="V474" s="315"/>
    </row>
    <row r="475" spans="1:22">
      <c r="A475" s="310"/>
      <c r="B475" s="311" t="s">
        <v>540</v>
      </c>
      <c r="C475" s="312">
        <v>0.45451672303711427</v>
      </c>
      <c r="D475" s="313">
        <v>0.46281597167304833</v>
      </c>
      <c r="E475" s="313">
        <v>0.41172952328925283</v>
      </c>
      <c r="F475" s="313">
        <v>0.26014650974737996</v>
      </c>
      <c r="G475" s="313">
        <v>0.44758617501579429</v>
      </c>
      <c r="H475" s="313">
        <v>0</v>
      </c>
      <c r="I475" s="313">
        <v>0</v>
      </c>
      <c r="J475" s="314">
        <v>0.43388169267296212</v>
      </c>
      <c r="K475" s="314">
        <v>0.3551734818245324</v>
      </c>
      <c r="L475" s="313">
        <v>0.34907853706584691</v>
      </c>
      <c r="M475" s="313">
        <v>0.26371594911962154</v>
      </c>
      <c r="N475" s="313">
        <v>0.14844021608751262</v>
      </c>
      <c r="O475" s="314">
        <v>0.32266962837602758</v>
      </c>
      <c r="P475" s="314">
        <v>0</v>
      </c>
      <c r="Q475" s="313">
        <v>0</v>
      </c>
      <c r="R475" s="314">
        <v>0</v>
      </c>
      <c r="S475" s="314">
        <v>0</v>
      </c>
      <c r="T475" s="314">
        <v>0</v>
      </c>
      <c r="U475" s="314">
        <v>0.37914555798568855</v>
      </c>
      <c r="V475" s="315"/>
    </row>
    <row r="476" spans="1:22">
      <c r="A476" s="310"/>
      <c r="B476" s="316" t="s">
        <v>541</v>
      </c>
      <c r="C476" s="317">
        <v>0</v>
      </c>
      <c r="D476" s="318">
        <v>0</v>
      </c>
      <c r="E476" s="318">
        <v>0</v>
      </c>
      <c r="F476" s="318">
        <v>0</v>
      </c>
      <c r="G476" s="318">
        <v>0</v>
      </c>
      <c r="H476" s="318">
        <v>0</v>
      </c>
      <c r="I476" s="318">
        <v>0</v>
      </c>
      <c r="J476" s="320">
        <v>0</v>
      </c>
      <c r="K476" s="320">
        <v>0</v>
      </c>
      <c r="L476" s="318">
        <v>0</v>
      </c>
      <c r="M476" s="318">
        <v>0</v>
      </c>
      <c r="N476" s="318">
        <v>0</v>
      </c>
      <c r="O476" s="320">
        <v>0</v>
      </c>
      <c r="P476" s="320">
        <v>0</v>
      </c>
      <c r="Q476" s="318">
        <v>0</v>
      </c>
      <c r="R476" s="320">
        <v>0</v>
      </c>
      <c r="S476" s="320">
        <v>0</v>
      </c>
      <c r="T476" s="320">
        <v>0</v>
      </c>
      <c r="U476" s="320">
        <v>0</v>
      </c>
      <c r="V476" s="315"/>
    </row>
    <row r="477" spans="1:22">
      <c r="A477" s="310"/>
      <c r="B477" s="55" t="s">
        <v>542</v>
      </c>
      <c r="C477" s="307">
        <v>0</v>
      </c>
      <c r="D477" s="308">
        <v>0</v>
      </c>
      <c r="E477" s="308">
        <v>0</v>
      </c>
      <c r="F477" s="308">
        <v>0</v>
      </c>
      <c r="G477" s="308">
        <v>0</v>
      </c>
      <c r="H477" s="308">
        <v>0</v>
      </c>
      <c r="I477" s="308">
        <v>0</v>
      </c>
      <c r="J477" s="309">
        <v>0</v>
      </c>
      <c r="K477" s="309">
        <v>0</v>
      </c>
      <c r="L477" s="308">
        <v>0</v>
      </c>
      <c r="M477" s="308">
        <v>0</v>
      </c>
      <c r="N477" s="308">
        <v>0</v>
      </c>
      <c r="O477" s="309">
        <v>0</v>
      </c>
      <c r="P477" s="309">
        <v>0</v>
      </c>
      <c r="Q477" s="308">
        <v>0</v>
      </c>
      <c r="R477" s="309">
        <v>0</v>
      </c>
      <c r="S477" s="309">
        <v>0</v>
      </c>
      <c r="T477" s="309">
        <v>0</v>
      </c>
      <c r="U477" s="309">
        <v>0</v>
      </c>
      <c r="V477" s="315"/>
    </row>
    <row r="478" spans="1:22">
      <c r="A478" s="310"/>
      <c r="B478" s="311" t="s">
        <v>543</v>
      </c>
      <c r="C478" s="312">
        <v>6.4897248281352727E-3</v>
      </c>
      <c r="D478" s="313">
        <v>1.4596888988608652E-2</v>
      </c>
      <c r="E478" s="313">
        <v>1.3141823796115762E-2</v>
      </c>
      <c r="F478" s="313">
        <v>9.5982545148319987E-3</v>
      </c>
      <c r="G478" s="313">
        <v>8.9202890734548596E-2</v>
      </c>
      <c r="H478" s="313">
        <v>0</v>
      </c>
      <c r="I478" s="313">
        <v>0</v>
      </c>
      <c r="J478" s="314">
        <v>9.9601992473542719E-3</v>
      </c>
      <c r="K478" s="314">
        <v>1.4810683106891405E-2</v>
      </c>
      <c r="L478" s="313">
        <v>8.2372636324831647E-2</v>
      </c>
      <c r="M478" s="313">
        <v>0.14730585374212538</v>
      </c>
      <c r="N478" s="313">
        <v>6.3896169206118292E-2</v>
      </c>
      <c r="O478" s="314">
        <v>8.9014461229104905E-2</v>
      </c>
      <c r="P478" s="314">
        <v>0</v>
      </c>
      <c r="Q478" s="313">
        <v>0</v>
      </c>
      <c r="R478" s="314">
        <v>0</v>
      </c>
      <c r="S478" s="314">
        <v>0</v>
      </c>
      <c r="T478" s="314">
        <v>0</v>
      </c>
      <c r="U478" s="314">
        <v>4.8868970150866622E-2</v>
      </c>
      <c r="V478" s="315"/>
    </row>
    <row r="479" spans="1:22">
      <c r="A479" s="310"/>
      <c r="B479" s="316" t="s">
        <v>544</v>
      </c>
      <c r="C479" s="317">
        <v>0</v>
      </c>
      <c r="D479" s="318">
        <v>0</v>
      </c>
      <c r="E479" s="318">
        <v>0</v>
      </c>
      <c r="F479" s="318">
        <v>0</v>
      </c>
      <c r="G479" s="318">
        <v>0</v>
      </c>
      <c r="H479" s="318">
        <v>0</v>
      </c>
      <c r="I479" s="318">
        <v>0</v>
      </c>
      <c r="J479" s="320">
        <v>0</v>
      </c>
      <c r="K479" s="320">
        <v>0</v>
      </c>
      <c r="L479" s="318">
        <v>0</v>
      </c>
      <c r="M479" s="318">
        <v>0</v>
      </c>
      <c r="N479" s="318">
        <v>0</v>
      </c>
      <c r="O479" s="320">
        <v>0</v>
      </c>
      <c r="P479" s="320">
        <v>0</v>
      </c>
      <c r="Q479" s="318">
        <v>0</v>
      </c>
      <c r="R479" s="320">
        <v>0</v>
      </c>
      <c r="S479" s="320">
        <v>0</v>
      </c>
      <c r="T479" s="320">
        <v>0</v>
      </c>
      <c r="U479" s="320">
        <v>0</v>
      </c>
      <c r="V479" s="315"/>
    </row>
    <row r="480" spans="1:22">
      <c r="A480" s="310"/>
      <c r="B480" s="55" t="s">
        <v>545</v>
      </c>
      <c r="C480" s="307">
        <v>0</v>
      </c>
      <c r="D480" s="308">
        <v>0</v>
      </c>
      <c r="E480" s="308">
        <v>0</v>
      </c>
      <c r="F480" s="308">
        <v>0</v>
      </c>
      <c r="G480" s="308">
        <v>0</v>
      </c>
      <c r="H480" s="308">
        <v>0</v>
      </c>
      <c r="I480" s="308">
        <v>0</v>
      </c>
      <c r="J480" s="309">
        <v>0</v>
      </c>
      <c r="K480" s="309">
        <v>0</v>
      </c>
      <c r="L480" s="308">
        <v>0</v>
      </c>
      <c r="M480" s="308">
        <v>0</v>
      </c>
      <c r="N480" s="308">
        <v>0</v>
      </c>
      <c r="O480" s="309">
        <v>0</v>
      </c>
      <c r="P480" s="309">
        <v>0</v>
      </c>
      <c r="Q480" s="308">
        <v>0</v>
      </c>
      <c r="R480" s="309">
        <v>0</v>
      </c>
      <c r="S480" s="309">
        <v>0</v>
      </c>
      <c r="T480" s="309">
        <v>0</v>
      </c>
      <c r="U480" s="309">
        <v>0</v>
      </c>
      <c r="V480" s="315"/>
    </row>
    <row r="481" spans="1:22">
      <c r="A481" s="310"/>
      <c r="B481" s="311" t="s">
        <v>546</v>
      </c>
      <c r="C481" s="312">
        <v>0.50629769909140332</v>
      </c>
      <c r="D481" s="313">
        <v>0.52234867015113673</v>
      </c>
      <c r="E481" s="313">
        <v>0.55305425360969129</v>
      </c>
      <c r="F481" s="313">
        <v>0.7260494203247585</v>
      </c>
      <c r="G481" s="313">
        <v>0.3973065010709278</v>
      </c>
      <c r="H481" s="313">
        <v>0</v>
      </c>
      <c r="I481" s="313">
        <v>0</v>
      </c>
      <c r="J481" s="314">
        <v>0.53159524015872306</v>
      </c>
      <c r="K481" s="314">
        <v>0.62915905193392985</v>
      </c>
      <c r="L481" s="313">
        <v>0.56425844498734945</v>
      </c>
      <c r="M481" s="313">
        <v>0.55425011881036013</v>
      </c>
      <c r="N481" s="313">
        <v>0.77805487883884394</v>
      </c>
      <c r="O481" s="314">
        <v>0.57852888990416729</v>
      </c>
      <c r="P481" s="314">
        <v>0</v>
      </c>
      <c r="Q481" s="313">
        <v>0</v>
      </c>
      <c r="R481" s="314">
        <v>0</v>
      </c>
      <c r="S481" s="314">
        <v>0</v>
      </c>
      <c r="T481" s="314">
        <v>0</v>
      </c>
      <c r="U481" s="314">
        <v>0.55469495141822145</v>
      </c>
      <c r="V481" s="315"/>
    </row>
    <row r="482" spans="1:22">
      <c r="A482" s="310"/>
      <c r="B482" s="316" t="s">
        <v>547</v>
      </c>
      <c r="C482" s="317">
        <v>0</v>
      </c>
      <c r="D482" s="318">
        <v>0</v>
      </c>
      <c r="E482" s="318">
        <v>0</v>
      </c>
      <c r="F482" s="318">
        <v>0</v>
      </c>
      <c r="G482" s="318">
        <v>0</v>
      </c>
      <c r="H482" s="318">
        <v>0</v>
      </c>
      <c r="I482" s="318">
        <v>0</v>
      </c>
      <c r="J482" s="320">
        <v>0</v>
      </c>
      <c r="K482" s="320">
        <v>0</v>
      </c>
      <c r="L482" s="318">
        <v>0</v>
      </c>
      <c r="M482" s="318">
        <v>0</v>
      </c>
      <c r="N482" s="318">
        <v>0</v>
      </c>
      <c r="O482" s="320">
        <v>0</v>
      </c>
      <c r="P482" s="320">
        <v>0</v>
      </c>
      <c r="Q482" s="318">
        <v>0</v>
      </c>
      <c r="R482" s="320">
        <v>0</v>
      </c>
      <c r="S482" s="320">
        <v>0</v>
      </c>
      <c r="T482" s="320">
        <v>0</v>
      </c>
      <c r="U482" s="320">
        <v>0</v>
      </c>
      <c r="V482" s="315"/>
    </row>
    <row r="483" spans="1:22">
      <c r="A483" s="310"/>
      <c r="B483" s="55" t="s">
        <v>548</v>
      </c>
      <c r="C483" s="307">
        <v>0</v>
      </c>
      <c r="D483" s="308">
        <v>0</v>
      </c>
      <c r="E483" s="308">
        <v>0</v>
      </c>
      <c r="F483" s="308">
        <v>0</v>
      </c>
      <c r="G483" s="308">
        <v>0</v>
      </c>
      <c r="H483" s="308">
        <v>0</v>
      </c>
      <c r="I483" s="308">
        <v>0</v>
      </c>
      <c r="J483" s="309">
        <v>0</v>
      </c>
      <c r="K483" s="309">
        <v>0</v>
      </c>
      <c r="L483" s="308">
        <v>0</v>
      </c>
      <c r="M483" s="308">
        <v>0</v>
      </c>
      <c r="N483" s="308">
        <v>0</v>
      </c>
      <c r="O483" s="309">
        <v>0</v>
      </c>
      <c r="P483" s="309">
        <v>0</v>
      </c>
      <c r="Q483" s="308">
        <v>0</v>
      </c>
      <c r="R483" s="309">
        <v>0</v>
      </c>
      <c r="S483" s="309">
        <v>0</v>
      </c>
      <c r="T483" s="309">
        <v>0</v>
      </c>
      <c r="U483" s="309">
        <v>0</v>
      </c>
      <c r="V483" s="315"/>
    </row>
    <row r="484" spans="1:22">
      <c r="A484" s="310"/>
      <c r="B484" s="311" t="s">
        <v>549</v>
      </c>
      <c r="C484" s="312">
        <v>2.7935375854988665E-2</v>
      </c>
      <c r="D484" s="313">
        <v>1.5632298904267802E-4</v>
      </c>
      <c r="E484" s="313">
        <v>5.2746968556675565E-3</v>
      </c>
      <c r="F484" s="313">
        <v>3.5726304608214819E-3</v>
      </c>
      <c r="G484" s="313">
        <v>3.3144829499052342E-2</v>
      </c>
      <c r="H484" s="313">
        <v>0</v>
      </c>
      <c r="I484" s="313">
        <v>0</v>
      </c>
      <c r="J484" s="314">
        <v>1.6815949907851027E-2</v>
      </c>
      <c r="K484" s="314">
        <v>8.567831346463524E-4</v>
      </c>
      <c r="L484" s="313">
        <v>4.2466558452376587E-3</v>
      </c>
      <c r="M484" s="313">
        <v>3.2462873345201711E-2</v>
      </c>
      <c r="N484" s="313">
        <v>4.0679975214849536E-3</v>
      </c>
      <c r="O484" s="314">
        <v>9.0336162812872135E-3</v>
      </c>
      <c r="P484" s="314">
        <v>0</v>
      </c>
      <c r="Q484" s="313">
        <v>0</v>
      </c>
      <c r="R484" s="314">
        <v>0</v>
      </c>
      <c r="S484" s="314">
        <v>0</v>
      </c>
      <c r="T484" s="314">
        <v>0</v>
      </c>
      <c r="U484" s="314">
        <v>1.2985656276869153E-2</v>
      </c>
      <c r="V484" s="315"/>
    </row>
    <row r="485" spans="1:22">
      <c r="A485" s="310"/>
      <c r="B485" s="316" t="s">
        <v>550</v>
      </c>
      <c r="C485" s="317">
        <v>0</v>
      </c>
      <c r="D485" s="318">
        <v>0</v>
      </c>
      <c r="E485" s="318">
        <v>0</v>
      </c>
      <c r="F485" s="318">
        <v>0</v>
      </c>
      <c r="G485" s="318">
        <v>0</v>
      </c>
      <c r="H485" s="318">
        <v>0</v>
      </c>
      <c r="I485" s="318">
        <v>0</v>
      </c>
      <c r="J485" s="320">
        <v>0</v>
      </c>
      <c r="K485" s="320">
        <v>0</v>
      </c>
      <c r="L485" s="318">
        <v>0</v>
      </c>
      <c r="M485" s="318">
        <v>0</v>
      </c>
      <c r="N485" s="318">
        <v>0</v>
      </c>
      <c r="O485" s="320">
        <v>0</v>
      </c>
      <c r="P485" s="320">
        <v>0</v>
      </c>
      <c r="Q485" s="318">
        <v>0</v>
      </c>
      <c r="R485" s="320">
        <v>0</v>
      </c>
      <c r="S485" s="320">
        <v>0</v>
      </c>
      <c r="T485" s="320">
        <v>0</v>
      </c>
      <c r="U485" s="320">
        <v>0</v>
      </c>
      <c r="V485" s="315"/>
    </row>
    <row r="486" spans="1:22">
      <c r="A486" s="310"/>
      <c r="B486" s="55" t="s">
        <v>551</v>
      </c>
      <c r="C486" s="307">
        <v>0</v>
      </c>
      <c r="D486" s="308">
        <v>0</v>
      </c>
      <c r="E486" s="308">
        <v>0</v>
      </c>
      <c r="F486" s="308">
        <v>0</v>
      </c>
      <c r="G486" s="308">
        <v>0</v>
      </c>
      <c r="H486" s="308">
        <v>0</v>
      </c>
      <c r="I486" s="308">
        <v>0</v>
      </c>
      <c r="J486" s="309">
        <v>0</v>
      </c>
      <c r="K486" s="309">
        <v>0</v>
      </c>
      <c r="L486" s="308">
        <v>0</v>
      </c>
      <c r="M486" s="308">
        <v>0</v>
      </c>
      <c r="N486" s="308">
        <v>0</v>
      </c>
      <c r="O486" s="309">
        <v>0</v>
      </c>
      <c r="P486" s="309">
        <v>0</v>
      </c>
      <c r="Q486" s="308">
        <v>0</v>
      </c>
      <c r="R486" s="309">
        <v>0</v>
      </c>
      <c r="S486" s="309">
        <v>0</v>
      </c>
      <c r="T486" s="309">
        <v>0</v>
      </c>
      <c r="U486" s="309">
        <v>0</v>
      </c>
      <c r="V486" s="315"/>
    </row>
    <row r="487" spans="1:22">
      <c r="A487" s="310"/>
      <c r="B487" s="311" t="s">
        <v>552</v>
      </c>
      <c r="C487" s="312">
        <v>4.7604771883584859E-3</v>
      </c>
      <c r="D487" s="313">
        <v>8.2146198163603347E-5</v>
      </c>
      <c r="E487" s="313">
        <v>1.6799702449272542E-2</v>
      </c>
      <c r="F487" s="313">
        <v>6.3318495220809293E-4</v>
      </c>
      <c r="G487" s="313">
        <v>3.2759603679677028E-2</v>
      </c>
      <c r="H487" s="313">
        <v>0</v>
      </c>
      <c r="I487" s="313">
        <v>0</v>
      </c>
      <c r="J487" s="314">
        <v>7.7469180131095354E-3</v>
      </c>
      <c r="K487" s="314">
        <v>0</v>
      </c>
      <c r="L487" s="313">
        <v>4.3725776734292017E-5</v>
      </c>
      <c r="M487" s="313">
        <v>2.2652049826912511E-3</v>
      </c>
      <c r="N487" s="313">
        <v>5.5407383460402129E-3</v>
      </c>
      <c r="O487" s="314">
        <v>7.5340420941295849E-4</v>
      </c>
      <c r="P487" s="314">
        <v>0</v>
      </c>
      <c r="Q487" s="313">
        <v>0</v>
      </c>
      <c r="R487" s="314">
        <v>0</v>
      </c>
      <c r="S487" s="314">
        <v>0</v>
      </c>
      <c r="T487" s="314">
        <v>0</v>
      </c>
      <c r="U487" s="314">
        <v>4.3048641683541868E-3</v>
      </c>
      <c r="V487" s="315"/>
    </row>
    <row r="488" spans="1:22">
      <c r="A488" s="310"/>
      <c r="B488" s="316" t="s">
        <v>553</v>
      </c>
      <c r="C488" s="317">
        <v>0</v>
      </c>
      <c r="D488" s="318">
        <v>0</v>
      </c>
      <c r="E488" s="318">
        <v>0</v>
      </c>
      <c r="F488" s="318">
        <v>0</v>
      </c>
      <c r="G488" s="318">
        <v>0</v>
      </c>
      <c r="H488" s="318">
        <v>0</v>
      </c>
      <c r="I488" s="318">
        <v>0</v>
      </c>
      <c r="J488" s="320">
        <v>0</v>
      </c>
      <c r="K488" s="320">
        <v>0</v>
      </c>
      <c r="L488" s="318">
        <v>0</v>
      </c>
      <c r="M488" s="318">
        <v>0</v>
      </c>
      <c r="N488" s="318">
        <v>0</v>
      </c>
      <c r="O488" s="320">
        <v>0</v>
      </c>
      <c r="P488" s="320">
        <v>0</v>
      </c>
      <c r="Q488" s="318">
        <v>0</v>
      </c>
      <c r="R488" s="320">
        <v>0</v>
      </c>
      <c r="S488" s="320">
        <v>0</v>
      </c>
      <c r="T488" s="320">
        <v>0</v>
      </c>
      <c r="U488" s="320">
        <v>0</v>
      </c>
      <c r="V488" s="315"/>
    </row>
    <row r="489" spans="1:22">
      <c r="A489" s="310"/>
      <c r="B489" s="55" t="s">
        <v>554</v>
      </c>
      <c r="C489" s="307">
        <v>0</v>
      </c>
      <c r="D489" s="308">
        <v>0</v>
      </c>
      <c r="E489" s="308">
        <v>0</v>
      </c>
      <c r="F489" s="308">
        <v>0</v>
      </c>
      <c r="G489" s="308">
        <v>0</v>
      </c>
      <c r="H489" s="308">
        <v>0</v>
      </c>
      <c r="I489" s="308">
        <v>0</v>
      </c>
      <c r="J489" s="309">
        <v>0</v>
      </c>
      <c r="K489" s="309">
        <v>0</v>
      </c>
      <c r="L489" s="308">
        <v>0</v>
      </c>
      <c r="M489" s="308">
        <v>0</v>
      </c>
      <c r="N489" s="308">
        <v>0</v>
      </c>
      <c r="O489" s="309">
        <v>0</v>
      </c>
      <c r="P489" s="309">
        <v>0</v>
      </c>
      <c r="Q489" s="308">
        <v>0</v>
      </c>
      <c r="R489" s="309">
        <v>0</v>
      </c>
      <c r="S489" s="309">
        <v>0</v>
      </c>
      <c r="T489" s="309">
        <v>0</v>
      </c>
      <c r="U489" s="309">
        <v>0</v>
      </c>
      <c r="V489" s="315"/>
    </row>
    <row r="490" spans="1:22">
      <c r="A490" s="310"/>
      <c r="B490" s="311" t="s">
        <v>555</v>
      </c>
      <c r="C490" s="312">
        <v>0</v>
      </c>
      <c r="D490" s="313">
        <v>0</v>
      </c>
      <c r="E490" s="313">
        <v>0</v>
      </c>
      <c r="F490" s="313">
        <v>0</v>
      </c>
      <c r="G490" s="313">
        <v>0</v>
      </c>
      <c r="H490" s="313">
        <v>0</v>
      </c>
      <c r="I490" s="313">
        <v>0</v>
      </c>
      <c r="J490" s="314">
        <v>0</v>
      </c>
      <c r="K490" s="314">
        <v>0</v>
      </c>
      <c r="L490" s="313">
        <v>0</v>
      </c>
      <c r="M490" s="313">
        <v>0</v>
      </c>
      <c r="N490" s="313">
        <v>0</v>
      </c>
      <c r="O490" s="314">
        <v>0</v>
      </c>
      <c r="P490" s="314">
        <v>0</v>
      </c>
      <c r="Q490" s="313">
        <v>0</v>
      </c>
      <c r="R490" s="314">
        <v>0</v>
      </c>
      <c r="S490" s="314">
        <v>0</v>
      </c>
      <c r="T490" s="314">
        <v>0</v>
      </c>
      <c r="U490" s="314">
        <v>0</v>
      </c>
      <c r="V490" s="315"/>
    </row>
    <row r="491" spans="1:22" ht="15" thickBot="1">
      <c r="A491" s="310"/>
      <c r="B491" s="322" t="s">
        <v>556</v>
      </c>
      <c r="C491" s="323">
        <v>0</v>
      </c>
      <c r="D491" s="324">
        <v>0</v>
      </c>
      <c r="E491" s="324">
        <v>0</v>
      </c>
      <c r="F491" s="324">
        <v>0</v>
      </c>
      <c r="G491" s="324">
        <v>0</v>
      </c>
      <c r="H491" s="324">
        <v>0</v>
      </c>
      <c r="I491" s="324">
        <v>0</v>
      </c>
      <c r="J491" s="325">
        <v>0</v>
      </c>
      <c r="K491" s="325">
        <v>0</v>
      </c>
      <c r="L491" s="324">
        <v>0</v>
      </c>
      <c r="M491" s="324">
        <v>0</v>
      </c>
      <c r="N491" s="324">
        <v>0</v>
      </c>
      <c r="O491" s="325">
        <v>0</v>
      </c>
      <c r="P491" s="325">
        <v>0</v>
      </c>
      <c r="Q491" s="324">
        <v>0</v>
      </c>
      <c r="R491" s="325">
        <v>0</v>
      </c>
      <c r="S491" s="325">
        <v>0</v>
      </c>
      <c r="T491" s="325">
        <v>0</v>
      </c>
      <c r="U491" s="325">
        <v>0</v>
      </c>
      <c r="V491" s="315"/>
    </row>
    <row r="492" spans="1:22" ht="15" thickTop="1">
      <c r="A492" s="310"/>
      <c r="B492" s="311" t="s">
        <v>557</v>
      </c>
      <c r="C492" s="312">
        <v>0</v>
      </c>
      <c r="D492" s="313">
        <v>0</v>
      </c>
      <c r="E492" s="313">
        <v>0</v>
      </c>
      <c r="F492" s="313">
        <v>0</v>
      </c>
      <c r="G492" s="313">
        <v>0</v>
      </c>
      <c r="H492" s="313">
        <v>0</v>
      </c>
      <c r="I492" s="313">
        <v>0</v>
      </c>
      <c r="J492" s="314">
        <v>0</v>
      </c>
      <c r="K492" s="314">
        <v>0</v>
      </c>
      <c r="L492" s="313">
        <v>0</v>
      </c>
      <c r="M492" s="313">
        <v>0</v>
      </c>
      <c r="N492" s="313">
        <v>0</v>
      </c>
      <c r="O492" s="314">
        <v>0</v>
      </c>
      <c r="P492" s="314">
        <v>0</v>
      </c>
      <c r="Q492" s="313">
        <v>0</v>
      </c>
      <c r="R492" s="314">
        <v>0</v>
      </c>
      <c r="S492" s="314">
        <v>0</v>
      </c>
      <c r="T492" s="314">
        <v>0</v>
      </c>
      <c r="U492" s="314">
        <v>0</v>
      </c>
      <c r="V492" s="315"/>
    </row>
    <row r="493" spans="1:22">
      <c r="A493" s="310"/>
      <c r="B493" s="311" t="s">
        <v>558</v>
      </c>
      <c r="C493" s="312">
        <v>0.50246541267308886</v>
      </c>
      <c r="D493" s="313">
        <v>0.36132134940282118</v>
      </c>
      <c r="E493" s="313">
        <v>0.18872385947960521</v>
      </c>
      <c r="F493" s="313">
        <v>0.12405750948344495</v>
      </c>
      <c r="G493" s="313">
        <v>0.34028244788164091</v>
      </c>
      <c r="H493" s="313">
        <v>0</v>
      </c>
      <c r="I493" s="313">
        <v>0</v>
      </c>
      <c r="J493" s="314">
        <v>0.37823032367224435</v>
      </c>
      <c r="K493" s="314">
        <v>0</v>
      </c>
      <c r="L493" s="313">
        <v>0</v>
      </c>
      <c r="M493" s="313">
        <v>0</v>
      </c>
      <c r="N493" s="313">
        <v>0</v>
      </c>
      <c r="O493" s="314">
        <v>0</v>
      </c>
      <c r="P493" s="314">
        <v>0</v>
      </c>
      <c r="Q493" s="313">
        <v>0</v>
      </c>
      <c r="R493" s="314">
        <v>0</v>
      </c>
      <c r="S493" s="314">
        <v>0</v>
      </c>
      <c r="T493" s="314">
        <v>0</v>
      </c>
      <c r="U493" s="314">
        <v>0.37823032367224435</v>
      </c>
      <c r="V493" s="315"/>
    </row>
    <row r="494" spans="1:22">
      <c r="A494" s="310"/>
      <c r="B494" s="316" t="s">
        <v>559</v>
      </c>
      <c r="C494" s="317">
        <v>0</v>
      </c>
      <c r="D494" s="318">
        <v>0</v>
      </c>
      <c r="E494" s="318">
        <v>0</v>
      </c>
      <c r="F494" s="318">
        <v>0</v>
      </c>
      <c r="G494" s="318">
        <v>0</v>
      </c>
      <c r="H494" s="318">
        <v>0</v>
      </c>
      <c r="I494" s="318">
        <v>0</v>
      </c>
      <c r="J494" s="320">
        <v>0</v>
      </c>
      <c r="K494" s="320">
        <v>0</v>
      </c>
      <c r="L494" s="318">
        <v>0</v>
      </c>
      <c r="M494" s="318">
        <v>0</v>
      </c>
      <c r="N494" s="318">
        <v>0</v>
      </c>
      <c r="O494" s="320">
        <v>0</v>
      </c>
      <c r="P494" s="320">
        <v>0</v>
      </c>
      <c r="Q494" s="318">
        <v>0</v>
      </c>
      <c r="R494" s="320">
        <v>0</v>
      </c>
      <c r="S494" s="320">
        <v>0</v>
      </c>
      <c r="T494" s="320">
        <v>0</v>
      </c>
      <c r="U494" s="320">
        <v>0</v>
      </c>
      <c r="V494" s="315"/>
    </row>
    <row r="495" spans="1:22">
      <c r="A495" s="310"/>
      <c r="B495" s="55" t="s">
        <v>560</v>
      </c>
      <c r="C495" s="307">
        <v>0</v>
      </c>
      <c r="D495" s="308">
        <v>0</v>
      </c>
      <c r="E495" s="308">
        <v>0</v>
      </c>
      <c r="F495" s="308">
        <v>0</v>
      </c>
      <c r="G495" s="308">
        <v>0</v>
      </c>
      <c r="H495" s="308">
        <v>0</v>
      </c>
      <c r="I495" s="308">
        <v>0</v>
      </c>
      <c r="J495" s="309">
        <v>0</v>
      </c>
      <c r="K495" s="309">
        <v>0</v>
      </c>
      <c r="L495" s="308">
        <v>0</v>
      </c>
      <c r="M495" s="308">
        <v>0</v>
      </c>
      <c r="N495" s="308">
        <v>0</v>
      </c>
      <c r="O495" s="309">
        <v>0</v>
      </c>
      <c r="P495" s="309">
        <v>0</v>
      </c>
      <c r="Q495" s="308">
        <v>0</v>
      </c>
      <c r="R495" s="309">
        <v>0</v>
      </c>
      <c r="S495" s="309">
        <v>0</v>
      </c>
      <c r="T495" s="309">
        <v>0</v>
      </c>
      <c r="U495" s="309">
        <v>0</v>
      </c>
      <c r="V495" s="315"/>
    </row>
    <row r="496" spans="1:22">
      <c r="A496" s="310"/>
      <c r="B496" s="311" t="s">
        <v>561</v>
      </c>
      <c r="C496" s="312">
        <v>1.0902162925795569E-2</v>
      </c>
      <c r="D496" s="313">
        <v>3.1710381852110059E-2</v>
      </c>
      <c r="E496" s="313">
        <v>1.4061701980813031E-2</v>
      </c>
      <c r="F496" s="313">
        <v>6.8140308153421064E-2</v>
      </c>
      <c r="G496" s="313">
        <v>5.8955391167899572E-2</v>
      </c>
      <c r="H496" s="313">
        <v>0</v>
      </c>
      <c r="I496" s="313">
        <v>0</v>
      </c>
      <c r="J496" s="314">
        <v>1.612954999108818E-2</v>
      </c>
      <c r="K496" s="314">
        <v>0</v>
      </c>
      <c r="L496" s="313">
        <v>0</v>
      </c>
      <c r="M496" s="313">
        <v>0</v>
      </c>
      <c r="N496" s="313">
        <v>0</v>
      </c>
      <c r="O496" s="314">
        <v>0</v>
      </c>
      <c r="P496" s="314">
        <v>0</v>
      </c>
      <c r="Q496" s="313">
        <v>0</v>
      </c>
      <c r="R496" s="314">
        <v>0</v>
      </c>
      <c r="S496" s="314">
        <v>0</v>
      </c>
      <c r="T496" s="314">
        <v>0</v>
      </c>
      <c r="U496" s="314">
        <v>1.612954999108818E-2</v>
      </c>
      <c r="V496" s="315"/>
    </row>
    <row r="497" spans="1:22">
      <c r="A497" s="310"/>
      <c r="B497" s="316" t="s">
        <v>562</v>
      </c>
      <c r="C497" s="317">
        <v>0</v>
      </c>
      <c r="D497" s="318">
        <v>0</v>
      </c>
      <c r="E497" s="318">
        <v>0</v>
      </c>
      <c r="F497" s="318">
        <v>0</v>
      </c>
      <c r="G497" s="318">
        <v>0</v>
      </c>
      <c r="H497" s="318">
        <v>0</v>
      </c>
      <c r="I497" s="318">
        <v>0</v>
      </c>
      <c r="J497" s="320">
        <v>0</v>
      </c>
      <c r="K497" s="320">
        <v>0</v>
      </c>
      <c r="L497" s="318">
        <v>0</v>
      </c>
      <c r="M497" s="318">
        <v>0</v>
      </c>
      <c r="N497" s="318">
        <v>0</v>
      </c>
      <c r="O497" s="320">
        <v>0</v>
      </c>
      <c r="P497" s="320">
        <v>0</v>
      </c>
      <c r="Q497" s="318">
        <v>0</v>
      </c>
      <c r="R497" s="320">
        <v>0</v>
      </c>
      <c r="S497" s="320">
        <v>0</v>
      </c>
      <c r="T497" s="320">
        <v>0</v>
      </c>
      <c r="U497" s="320">
        <v>0</v>
      </c>
      <c r="V497" s="315"/>
    </row>
    <row r="498" spans="1:22">
      <c r="A498" s="310"/>
      <c r="B498" s="55" t="s">
        <v>563</v>
      </c>
      <c r="C498" s="307">
        <v>0</v>
      </c>
      <c r="D498" s="308">
        <v>0</v>
      </c>
      <c r="E498" s="308">
        <v>0</v>
      </c>
      <c r="F498" s="308">
        <v>0</v>
      </c>
      <c r="G498" s="308">
        <v>0</v>
      </c>
      <c r="H498" s="308">
        <v>0</v>
      </c>
      <c r="I498" s="308">
        <v>0</v>
      </c>
      <c r="J498" s="309">
        <v>0</v>
      </c>
      <c r="K498" s="309">
        <v>0</v>
      </c>
      <c r="L498" s="308">
        <v>0</v>
      </c>
      <c r="M498" s="308">
        <v>0</v>
      </c>
      <c r="N498" s="308">
        <v>0</v>
      </c>
      <c r="O498" s="309">
        <v>0</v>
      </c>
      <c r="P498" s="309">
        <v>0</v>
      </c>
      <c r="Q498" s="308">
        <v>0</v>
      </c>
      <c r="R498" s="309">
        <v>0</v>
      </c>
      <c r="S498" s="309">
        <v>0</v>
      </c>
      <c r="T498" s="309">
        <v>0</v>
      </c>
      <c r="U498" s="309">
        <v>0</v>
      </c>
      <c r="V498" s="315"/>
    </row>
    <row r="499" spans="1:22">
      <c r="A499" s="310"/>
      <c r="B499" s="311" t="s">
        <v>564</v>
      </c>
      <c r="C499" s="312">
        <v>0.46298303515972283</v>
      </c>
      <c r="D499" s="313">
        <v>0.60265589059166835</v>
      </c>
      <c r="E499" s="313">
        <v>0.77526813444682174</v>
      </c>
      <c r="F499" s="313">
        <v>0.78637662155200672</v>
      </c>
      <c r="G499" s="313">
        <v>0.53665097511768667</v>
      </c>
      <c r="H499" s="313">
        <v>0</v>
      </c>
      <c r="I499" s="313">
        <v>0</v>
      </c>
      <c r="J499" s="314">
        <v>0.58447223017669059</v>
      </c>
      <c r="K499" s="314">
        <v>0</v>
      </c>
      <c r="L499" s="313">
        <v>0</v>
      </c>
      <c r="M499" s="313">
        <v>0</v>
      </c>
      <c r="N499" s="313">
        <v>0</v>
      </c>
      <c r="O499" s="314">
        <v>0</v>
      </c>
      <c r="P499" s="314">
        <v>0</v>
      </c>
      <c r="Q499" s="313">
        <v>0</v>
      </c>
      <c r="R499" s="314">
        <v>0</v>
      </c>
      <c r="S499" s="314">
        <v>0</v>
      </c>
      <c r="T499" s="314">
        <v>0</v>
      </c>
      <c r="U499" s="314">
        <v>0.58447223017669059</v>
      </c>
      <c r="V499" s="315"/>
    </row>
    <row r="500" spans="1:22">
      <c r="A500" s="310"/>
      <c r="B500" s="316" t="s">
        <v>565</v>
      </c>
      <c r="C500" s="317">
        <v>0</v>
      </c>
      <c r="D500" s="318">
        <v>0</v>
      </c>
      <c r="E500" s="318">
        <v>0</v>
      </c>
      <c r="F500" s="318">
        <v>0</v>
      </c>
      <c r="G500" s="318">
        <v>0</v>
      </c>
      <c r="H500" s="318">
        <v>0</v>
      </c>
      <c r="I500" s="318">
        <v>0</v>
      </c>
      <c r="J500" s="320">
        <v>0</v>
      </c>
      <c r="K500" s="320">
        <v>0</v>
      </c>
      <c r="L500" s="318">
        <v>0</v>
      </c>
      <c r="M500" s="318">
        <v>0</v>
      </c>
      <c r="N500" s="318">
        <v>0</v>
      </c>
      <c r="O500" s="320">
        <v>0</v>
      </c>
      <c r="P500" s="320">
        <v>0</v>
      </c>
      <c r="Q500" s="318">
        <v>0</v>
      </c>
      <c r="R500" s="320">
        <v>0</v>
      </c>
      <c r="S500" s="320">
        <v>0</v>
      </c>
      <c r="T500" s="320">
        <v>0</v>
      </c>
      <c r="U500" s="320">
        <v>0</v>
      </c>
      <c r="V500" s="315"/>
    </row>
    <row r="501" spans="1:22">
      <c r="A501" s="310"/>
      <c r="B501" s="55" t="s">
        <v>566</v>
      </c>
      <c r="C501" s="307">
        <v>0</v>
      </c>
      <c r="D501" s="308">
        <v>0</v>
      </c>
      <c r="E501" s="308">
        <v>0</v>
      </c>
      <c r="F501" s="308">
        <v>0</v>
      </c>
      <c r="G501" s="308">
        <v>0</v>
      </c>
      <c r="H501" s="308">
        <v>0</v>
      </c>
      <c r="I501" s="308">
        <v>0</v>
      </c>
      <c r="J501" s="309">
        <v>0</v>
      </c>
      <c r="K501" s="309">
        <v>0</v>
      </c>
      <c r="L501" s="308">
        <v>0</v>
      </c>
      <c r="M501" s="308">
        <v>0</v>
      </c>
      <c r="N501" s="308">
        <v>0</v>
      </c>
      <c r="O501" s="309">
        <v>0</v>
      </c>
      <c r="P501" s="309">
        <v>0</v>
      </c>
      <c r="Q501" s="308">
        <v>0</v>
      </c>
      <c r="R501" s="309">
        <v>0</v>
      </c>
      <c r="S501" s="309">
        <v>0</v>
      </c>
      <c r="T501" s="309">
        <v>0</v>
      </c>
      <c r="U501" s="309">
        <v>0</v>
      </c>
      <c r="V501" s="315"/>
    </row>
    <row r="502" spans="1:22">
      <c r="A502" s="310"/>
      <c r="B502" s="311" t="s">
        <v>567</v>
      </c>
      <c r="C502" s="312">
        <v>1.8426276625543473E-2</v>
      </c>
      <c r="D502" s="313">
        <v>2.5590395043896086E-3</v>
      </c>
      <c r="E502" s="313">
        <v>4.290151149147629E-3</v>
      </c>
      <c r="F502" s="313">
        <v>8.3594811033578416E-3</v>
      </c>
      <c r="G502" s="313">
        <v>2.0174848688634835E-2</v>
      </c>
      <c r="H502" s="313">
        <v>0</v>
      </c>
      <c r="I502" s="313">
        <v>0</v>
      </c>
      <c r="J502" s="314">
        <v>1.213570294833425E-2</v>
      </c>
      <c r="K502" s="314">
        <v>0</v>
      </c>
      <c r="L502" s="313">
        <v>0</v>
      </c>
      <c r="M502" s="313">
        <v>0</v>
      </c>
      <c r="N502" s="313">
        <v>0</v>
      </c>
      <c r="O502" s="314">
        <v>0</v>
      </c>
      <c r="P502" s="314">
        <v>0</v>
      </c>
      <c r="Q502" s="313">
        <v>0</v>
      </c>
      <c r="R502" s="314">
        <v>0</v>
      </c>
      <c r="S502" s="314">
        <v>0</v>
      </c>
      <c r="T502" s="314">
        <v>0</v>
      </c>
      <c r="U502" s="314">
        <v>1.213570294833425E-2</v>
      </c>
      <c r="V502" s="315"/>
    </row>
    <row r="503" spans="1:22">
      <c r="A503" s="310"/>
      <c r="B503" s="316" t="s">
        <v>568</v>
      </c>
      <c r="C503" s="317">
        <v>0</v>
      </c>
      <c r="D503" s="318">
        <v>0</v>
      </c>
      <c r="E503" s="318">
        <v>0</v>
      </c>
      <c r="F503" s="318">
        <v>0</v>
      </c>
      <c r="G503" s="318">
        <v>0</v>
      </c>
      <c r="H503" s="318">
        <v>0</v>
      </c>
      <c r="I503" s="318">
        <v>0</v>
      </c>
      <c r="J503" s="320">
        <v>0</v>
      </c>
      <c r="K503" s="320">
        <v>0</v>
      </c>
      <c r="L503" s="318">
        <v>0</v>
      </c>
      <c r="M503" s="318">
        <v>0</v>
      </c>
      <c r="N503" s="318">
        <v>0</v>
      </c>
      <c r="O503" s="320">
        <v>0</v>
      </c>
      <c r="P503" s="320">
        <v>0</v>
      </c>
      <c r="Q503" s="318">
        <v>0</v>
      </c>
      <c r="R503" s="320">
        <v>0</v>
      </c>
      <c r="S503" s="320">
        <v>0</v>
      </c>
      <c r="T503" s="320">
        <v>0</v>
      </c>
      <c r="U503" s="320">
        <v>0</v>
      </c>
      <c r="V503" s="315"/>
    </row>
    <row r="504" spans="1:22">
      <c r="A504" s="310"/>
      <c r="B504" s="55" t="s">
        <v>569</v>
      </c>
      <c r="C504" s="307">
        <v>0</v>
      </c>
      <c r="D504" s="308">
        <v>0</v>
      </c>
      <c r="E504" s="308">
        <v>0</v>
      </c>
      <c r="F504" s="308">
        <v>0</v>
      </c>
      <c r="G504" s="308">
        <v>0</v>
      </c>
      <c r="H504" s="308">
        <v>0</v>
      </c>
      <c r="I504" s="308">
        <v>0</v>
      </c>
      <c r="J504" s="309">
        <v>0</v>
      </c>
      <c r="K504" s="309">
        <v>0</v>
      </c>
      <c r="L504" s="308">
        <v>0</v>
      </c>
      <c r="M504" s="308">
        <v>0</v>
      </c>
      <c r="N504" s="308">
        <v>0</v>
      </c>
      <c r="O504" s="309">
        <v>0</v>
      </c>
      <c r="P504" s="309">
        <v>0</v>
      </c>
      <c r="Q504" s="308">
        <v>0</v>
      </c>
      <c r="R504" s="309">
        <v>0</v>
      </c>
      <c r="S504" s="309">
        <v>0</v>
      </c>
      <c r="T504" s="309">
        <v>0</v>
      </c>
      <c r="U504" s="309">
        <v>0</v>
      </c>
      <c r="V504" s="315"/>
    </row>
    <row r="505" spans="1:22">
      <c r="A505" s="310"/>
      <c r="B505" s="311" t="s">
        <v>570</v>
      </c>
      <c r="C505" s="312">
        <v>5.2231126158492772E-3</v>
      </c>
      <c r="D505" s="313">
        <v>1.7533386490108248E-3</v>
      </c>
      <c r="E505" s="313">
        <v>1.7656152943612394E-2</v>
      </c>
      <c r="F505" s="313">
        <v>1.30660797077694E-2</v>
      </c>
      <c r="G505" s="313">
        <v>4.3936337144138082E-2</v>
      </c>
      <c r="H505" s="313">
        <v>0</v>
      </c>
      <c r="I505" s="313">
        <v>0</v>
      </c>
      <c r="J505" s="314">
        <v>9.0321932116426383E-3</v>
      </c>
      <c r="K505" s="314">
        <v>0</v>
      </c>
      <c r="L505" s="313">
        <v>0</v>
      </c>
      <c r="M505" s="313">
        <v>0</v>
      </c>
      <c r="N505" s="313">
        <v>0</v>
      </c>
      <c r="O505" s="314">
        <v>0</v>
      </c>
      <c r="P505" s="314">
        <v>0</v>
      </c>
      <c r="Q505" s="313">
        <v>0</v>
      </c>
      <c r="R505" s="314">
        <v>0</v>
      </c>
      <c r="S505" s="314">
        <v>0</v>
      </c>
      <c r="T505" s="314">
        <v>0</v>
      </c>
      <c r="U505" s="314">
        <v>9.0321932116426383E-3</v>
      </c>
      <c r="V505" s="315"/>
    </row>
    <row r="506" spans="1:22">
      <c r="A506" s="310"/>
      <c r="B506" s="316" t="s">
        <v>571</v>
      </c>
      <c r="C506" s="317">
        <v>0</v>
      </c>
      <c r="D506" s="318">
        <v>0</v>
      </c>
      <c r="E506" s="318">
        <v>0</v>
      </c>
      <c r="F506" s="318">
        <v>0</v>
      </c>
      <c r="G506" s="318">
        <v>0</v>
      </c>
      <c r="H506" s="318">
        <v>0</v>
      </c>
      <c r="I506" s="318">
        <v>0</v>
      </c>
      <c r="J506" s="320">
        <v>0</v>
      </c>
      <c r="K506" s="320">
        <v>0</v>
      </c>
      <c r="L506" s="318">
        <v>0</v>
      </c>
      <c r="M506" s="318">
        <v>0</v>
      </c>
      <c r="N506" s="318">
        <v>0</v>
      </c>
      <c r="O506" s="320">
        <v>0</v>
      </c>
      <c r="P506" s="320">
        <v>0</v>
      </c>
      <c r="Q506" s="318">
        <v>0</v>
      </c>
      <c r="R506" s="320">
        <v>0</v>
      </c>
      <c r="S506" s="320">
        <v>0</v>
      </c>
      <c r="T506" s="320">
        <v>0</v>
      </c>
      <c r="U506" s="320">
        <v>0</v>
      </c>
      <c r="V506" s="315"/>
    </row>
    <row r="507" spans="1:22">
      <c r="A507" s="310"/>
      <c r="B507" s="55" t="s">
        <v>572</v>
      </c>
      <c r="C507" s="307">
        <v>0</v>
      </c>
      <c r="D507" s="308">
        <v>0</v>
      </c>
      <c r="E507" s="308">
        <v>0</v>
      </c>
      <c r="F507" s="308">
        <v>0</v>
      </c>
      <c r="G507" s="308">
        <v>0</v>
      </c>
      <c r="H507" s="308">
        <v>0</v>
      </c>
      <c r="I507" s="308">
        <v>0</v>
      </c>
      <c r="J507" s="309">
        <v>0</v>
      </c>
      <c r="K507" s="309">
        <v>0</v>
      </c>
      <c r="L507" s="308">
        <v>0</v>
      </c>
      <c r="M507" s="308">
        <v>0</v>
      </c>
      <c r="N507" s="308">
        <v>0</v>
      </c>
      <c r="O507" s="309">
        <v>0</v>
      </c>
      <c r="P507" s="309">
        <v>0</v>
      </c>
      <c r="Q507" s="308">
        <v>0</v>
      </c>
      <c r="R507" s="309">
        <v>0</v>
      </c>
      <c r="S507" s="309">
        <v>0</v>
      </c>
      <c r="T507" s="309">
        <v>0</v>
      </c>
      <c r="U507" s="309">
        <v>0</v>
      </c>
      <c r="V507" s="315"/>
    </row>
    <row r="508" spans="1:22">
      <c r="A508" s="310"/>
      <c r="B508" s="311" t="s">
        <v>573</v>
      </c>
      <c r="C508" s="312">
        <v>0</v>
      </c>
      <c r="D508" s="313">
        <v>0</v>
      </c>
      <c r="E508" s="313">
        <v>0</v>
      </c>
      <c r="F508" s="313">
        <v>0</v>
      </c>
      <c r="G508" s="313">
        <v>0</v>
      </c>
      <c r="H508" s="313">
        <v>0</v>
      </c>
      <c r="I508" s="313">
        <v>0</v>
      </c>
      <c r="J508" s="314">
        <v>0</v>
      </c>
      <c r="K508" s="314">
        <v>0</v>
      </c>
      <c r="L508" s="313">
        <v>0</v>
      </c>
      <c r="M508" s="313">
        <v>0</v>
      </c>
      <c r="N508" s="313">
        <v>0</v>
      </c>
      <c r="O508" s="314">
        <v>0</v>
      </c>
      <c r="P508" s="314">
        <v>0</v>
      </c>
      <c r="Q508" s="313">
        <v>0</v>
      </c>
      <c r="R508" s="314">
        <v>0</v>
      </c>
      <c r="S508" s="314">
        <v>0</v>
      </c>
      <c r="T508" s="314">
        <v>0</v>
      </c>
      <c r="U508" s="314">
        <v>0</v>
      </c>
      <c r="V508" s="315"/>
    </row>
    <row r="509" spans="1:22" ht="15" thickBot="1">
      <c r="A509" s="326"/>
      <c r="B509" s="327" t="s">
        <v>574</v>
      </c>
      <c r="C509" s="328">
        <v>0</v>
      </c>
      <c r="D509" s="329">
        <v>0</v>
      </c>
      <c r="E509" s="329">
        <v>0</v>
      </c>
      <c r="F509" s="329">
        <v>0</v>
      </c>
      <c r="G509" s="329">
        <v>0</v>
      </c>
      <c r="H509" s="329">
        <v>0</v>
      </c>
      <c r="I509" s="329">
        <v>0</v>
      </c>
      <c r="J509" s="330">
        <v>0</v>
      </c>
      <c r="K509" s="330">
        <v>0</v>
      </c>
      <c r="L509" s="329">
        <v>0</v>
      </c>
      <c r="M509" s="329">
        <v>0</v>
      </c>
      <c r="N509" s="329">
        <v>0</v>
      </c>
      <c r="O509" s="330">
        <v>0</v>
      </c>
      <c r="P509" s="330">
        <v>0</v>
      </c>
      <c r="Q509" s="329">
        <v>0</v>
      </c>
      <c r="R509" s="330">
        <v>0</v>
      </c>
      <c r="S509" s="330">
        <v>0</v>
      </c>
      <c r="T509" s="330">
        <v>0</v>
      </c>
      <c r="U509" s="330">
        <v>0</v>
      </c>
      <c r="V509" s="315"/>
    </row>
    <row r="510" spans="1:22">
      <c r="A510" s="306" t="s">
        <v>438</v>
      </c>
      <c r="B510" s="55" t="s">
        <v>539</v>
      </c>
      <c r="C510" s="307">
        <v>0.87365708434188127</v>
      </c>
      <c r="D510" s="308">
        <v>0.96542370488233364</v>
      </c>
      <c r="E510" s="308">
        <v>0.89192626357412053</v>
      </c>
      <c r="F510" s="308">
        <v>0.76564022749421812</v>
      </c>
      <c r="G510" s="308">
        <v>0.94237777864836714</v>
      </c>
      <c r="H510" s="308">
        <v>0.74984716157205245</v>
      </c>
      <c r="I510" s="308">
        <v>0</v>
      </c>
      <c r="J510" s="309">
        <v>0.88156824593173011</v>
      </c>
      <c r="K510" s="309">
        <v>0</v>
      </c>
      <c r="L510" s="308">
        <v>0.60373504971842618</v>
      </c>
      <c r="M510" s="308">
        <v>0.39946577089983343</v>
      </c>
      <c r="N510" s="308">
        <v>0.36776303851182529</v>
      </c>
      <c r="O510" s="309">
        <v>0.52013706961471917</v>
      </c>
      <c r="P510" s="309">
        <v>0</v>
      </c>
      <c r="Q510" s="308">
        <v>0</v>
      </c>
      <c r="R510" s="309">
        <v>0</v>
      </c>
      <c r="S510" s="309">
        <v>0</v>
      </c>
      <c r="T510" s="309">
        <v>0</v>
      </c>
      <c r="U510" s="309">
        <v>0.74625972510828154</v>
      </c>
      <c r="V510" s="315"/>
    </row>
    <row r="511" spans="1:22">
      <c r="A511" s="310"/>
      <c r="B511" s="311" t="s">
        <v>540</v>
      </c>
      <c r="C511" s="312">
        <v>0.54887822444914902</v>
      </c>
      <c r="D511" s="313">
        <v>0.54631071252347341</v>
      </c>
      <c r="E511" s="313">
        <v>0.56871040753411295</v>
      </c>
      <c r="F511" s="313">
        <v>0.68144471572053045</v>
      </c>
      <c r="G511" s="313">
        <v>0.66088654742023378</v>
      </c>
      <c r="H511" s="313">
        <v>0.71382117369764952</v>
      </c>
      <c r="I511" s="313">
        <v>0</v>
      </c>
      <c r="J511" s="314">
        <v>0.56584105082528691</v>
      </c>
      <c r="K511" s="314">
        <v>0</v>
      </c>
      <c r="L511" s="313">
        <v>0.34492539381900494</v>
      </c>
      <c r="M511" s="313">
        <v>0.20114308249259508</v>
      </c>
      <c r="N511" s="313">
        <v>0.23788055866785149</v>
      </c>
      <c r="O511" s="314">
        <v>0.29382171610734298</v>
      </c>
      <c r="P511" s="314">
        <v>0</v>
      </c>
      <c r="Q511" s="313">
        <v>0</v>
      </c>
      <c r="R511" s="314">
        <v>0</v>
      </c>
      <c r="S511" s="314">
        <v>0</v>
      </c>
      <c r="T511" s="314">
        <v>0</v>
      </c>
      <c r="U511" s="314">
        <v>0.46668012205445003</v>
      </c>
      <c r="V511" s="315"/>
    </row>
    <row r="512" spans="1:22">
      <c r="A512" s="310"/>
      <c r="B512" s="316" t="s">
        <v>541</v>
      </c>
      <c r="C512" s="317">
        <v>-32.477885989273226</v>
      </c>
      <c r="D512" s="318">
        <v>-41.911299235886027</v>
      </c>
      <c r="E512" s="318">
        <v>-32.321585604000759</v>
      </c>
      <c r="F512" s="318">
        <v>-8.419551177368767</v>
      </c>
      <c r="G512" s="318">
        <v>-28.149123122813336</v>
      </c>
      <c r="H512" s="318">
        <v>-3.602598787440292</v>
      </c>
      <c r="I512" s="318">
        <v>0</v>
      </c>
      <c r="J512" s="320">
        <v>-31.572719510644319</v>
      </c>
      <c r="K512" s="320">
        <v>0</v>
      </c>
      <c r="L512" s="318">
        <v>-25.880965589942122</v>
      </c>
      <c r="M512" s="318">
        <v>-19.832268840723835</v>
      </c>
      <c r="N512" s="318">
        <v>-12.988247984397381</v>
      </c>
      <c r="O512" s="320">
        <v>-22.631535350737618</v>
      </c>
      <c r="P512" s="320">
        <v>0</v>
      </c>
      <c r="Q512" s="318">
        <v>0</v>
      </c>
      <c r="R512" s="320">
        <v>0</v>
      </c>
      <c r="S512" s="320">
        <v>0</v>
      </c>
      <c r="T512" s="320">
        <v>0</v>
      </c>
      <c r="U512" s="320">
        <v>-27.95796030538315</v>
      </c>
      <c r="V512" s="315"/>
    </row>
    <row r="513" spans="1:22">
      <c r="A513" s="310"/>
      <c r="B513" s="55" t="s">
        <v>542</v>
      </c>
      <c r="C513" s="307">
        <v>1.4017035198831509E-2</v>
      </c>
      <c r="D513" s="308">
        <v>2.8450637682025159E-2</v>
      </c>
      <c r="E513" s="308">
        <v>2.3977544131941995E-2</v>
      </c>
      <c r="F513" s="308">
        <v>1.5054764432937207E-3</v>
      </c>
      <c r="G513" s="308">
        <v>4.9051150045535995E-3</v>
      </c>
      <c r="H513" s="308">
        <v>0</v>
      </c>
      <c r="I513" s="308">
        <v>0</v>
      </c>
      <c r="J513" s="309">
        <v>1.5288349742064972E-2</v>
      </c>
      <c r="K513" s="309">
        <v>0</v>
      </c>
      <c r="L513" s="308">
        <v>0.1120427000976401</v>
      </c>
      <c r="M513" s="308">
        <v>0.24568550116705939</v>
      </c>
      <c r="N513" s="308">
        <v>0.23405111645674456</v>
      </c>
      <c r="O513" s="309">
        <v>0.16204741840432504</v>
      </c>
      <c r="P513" s="309">
        <v>0</v>
      </c>
      <c r="Q513" s="308">
        <v>0</v>
      </c>
      <c r="R513" s="309">
        <v>0</v>
      </c>
      <c r="S513" s="309">
        <v>0</v>
      </c>
      <c r="T513" s="309">
        <v>0</v>
      </c>
      <c r="U513" s="309">
        <v>7.0230351980134539E-2</v>
      </c>
      <c r="V513" s="315"/>
    </row>
    <row r="514" spans="1:22">
      <c r="A514" s="310"/>
      <c r="B514" s="311" t="s">
        <v>543</v>
      </c>
      <c r="C514" s="312">
        <v>1.0278120041859367E-2</v>
      </c>
      <c r="D514" s="313">
        <v>2.211551678721229E-2</v>
      </c>
      <c r="E514" s="313">
        <v>2.5093114108684436E-2</v>
      </c>
      <c r="F514" s="313">
        <v>5.8478677212321455E-4</v>
      </c>
      <c r="G514" s="313">
        <v>4.2794673464006325E-3</v>
      </c>
      <c r="H514" s="313">
        <v>1.5647847057026255E-2</v>
      </c>
      <c r="I514" s="313">
        <v>0</v>
      </c>
      <c r="J514" s="314">
        <v>1.2806455779537268E-2</v>
      </c>
      <c r="K514" s="314">
        <v>0</v>
      </c>
      <c r="L514" s="313">
        <v>0.10201991038019124</v>
      </c>
      <c r="M514" s="313">
        <v>0.20090050728009351</v>
      </c>
      <c r="N514" s="313">
        <v>0.1902576015145076</v>
      </c>
      <c r="O514" s="314">
        <v>0.13928850044758989</v>
      </c>
      <c r="P514" s="314">
        <v>0</v>
      </c>
      <c r="Q514" s="313">
        <v>0</v>
      </c>
      <c r="R514" s="314">
        <v>0</v>
      </c>
      <c r="S514" s="314">
        <v>0</v>
      </c>
      <c r="T514" s="314">
        <v>0</v>
      </c>
      <c r="U514" s="314">
        <v>5.8913755597483727E-2</v>
      </c>
      <c r="V514" s="315"/>
    </row>
    <row r="515" spans="1:22">
      <c r="A515" s="310"/>
      <c r="B515" s="316" t="s">
        <v>544</v>
      </c>
      <c r="C515" s="317">
        <v>-0.37389151569721424</v>
      </c>
      <c r="D515" s="318">
        <v>-0.6335120894812869</v>
      </c>
      <c r="E515" s="318">
        <v>0.11155699767424407</v>
      </c>
      <c r="F515" s="318">
        <v>-9.2068967117050621E-2</v>
      </c>
      <c r="G515" s="318">
        <v>-6.25647658152967E-2</v>
      </c>
      <c r="H515" s="318">
        <v>0</v>
      </c>
      <c r="I515" s="318">
        <v>0</v>
      </c>
      <c r="J515" s="320">
        <v>-0.24818939625277039</v>
      </c>
      <c r="K515" s="320">
        <v>0</v>
      </c>
      <c r="L515" s="318">
        <v>-1.0022789717448854</v>
      </c>
      <c r="M515" s="318">
        <v>-4.4784993886965889</v>
      </c>
      <c r="N515" s="318">
        <v>-4.3793514942236964</v>
      </c>
      <c r="O515" s="320">
        <v>-2.2758917956735152</v>
      </c>
      <c r="P515" s="320">
        <v>0</v>
      </c>
      <c r="Q515" s="318">
        <v>0</v>
      </c>
      <c r="R515" s="320">
        <v>0</v>
      </c>
      <c r="S515" s="320">
        <v>0</v>
      </c>
      <c r="T515" s="320">
        <v>0</v>
      </c>
      <c r="U515" s="320">
        <v>-1.1316596382650812</v>
      </c>
      <c r="V515" s="315"/>
    </row>
    <row r="516" spans="1:22">
      <c r="A516" s="310"/>
      <c r="B516" s="55" t="s">
        <v>545</v>
      </c>
      <c r="C516" s="307">
        <v>0.10449828658800196</v>
      </c>
      <c r="D516" s="308">
        <v>6.1256574356412258E-3</v>
      </c>
      <c r="E516" s="308">
        <v>8.3431140742381796E-2</v>
      </c>
      <c r="F516" s="308">
        <v>0.23285429606248817</v>
      </c>
      <c r="G516" s="308">
        <v>5.2684906467399498E-2</v>
      </c>
      <c r="H516" s="308">
        <v>0.25015283842794761</v>
      </c>
      <c r="I516" s="308">
        <v>0</v>
      </c>
      <c r="J516" s="309">
        <v>9.7845139946320533E-2</v>
      </c>
      <c r="K516" s="309">
        <v>0</v>
      </c>
      <c r="L516" s="308">
        <v>0.28387553717164604</v>
      </c>
      <c r="M516" s="308">
        <v>0.29430369169577353</v>
      </c>
      <c r="N516" s="308">
        <v>0.33696567575993042</v>
      </c>
      <c r="O516" s="309">
        <v>0.29408777779088124</v>
      </c>
      <c r="P516" s="309">
        <v>0</v>
      </c>
      <c r="Q516" s="308">
        <v>0</v>
      </c>
      <c r="R516" s="309">
        <v>0</v>
      </c>
      <c r="S516" s="309">
        <v>0</v>
      </c>
      <c r="T516" s="309">
        <v>0</v>
      </c>
      <c r="U516" s="309">
        <v>0.17131224181566604</v>
      </c>
      <c r="V516" s="315"/>
    </row>
    <row r="517" spans="1:22">
      <c r="A517" s="310"/>
      <c r="B517" s="311" t="s">
        <v>546</v>
      </c>
      <c r="C517" s="312">
        <v>0.27633857740848083</v>
      </c>
      <c r="D517" s="313">
        <v>0.34284171493694154</v>
      </c>
      <c r="E517" s="313">
        <v>0.40105406471809946</v>
      </c>
      <c r="F517" s="313">
        <v>0.31797049750734641</v>
      </c>
      <c r="G517" s="313">
        <v>0.21105080425419706</v>
      </c>
      <c r="H517" s="313">
        <v>0.27053097924532421</v>
      </c>
      <c r="I517" s="313">
        <v>0</v>
      </c>
      <c r="J517" s="314">
        <v>0.29824317604803924</v>
      </c>
      <c r="K517" s="314">
        <v>0</v>
      </c>
      <c r="L517" s="313">
        <v>0.51405737515591077</v>
      </c>
      <c r="M517" s="313">
        <v>0.54320817776365515</v>
      </c>
      <c r="N517" s="313">
        <v>0.46905787582583164</v>
      </c>
      <c r="O517" s="314">
        <v>0.51472872404610037</v>
      </c>
      <c r="P517" s="314">
        <v>0</v>
      </c>
      <c r="Q517" s="313">
        <v>0</v>
      </c>
      <c r="R517" s="314">
        <v>0</v>
      </c>
      <c r="S517" s="314">
        <v>0</v>
      </c>
      <c r="T517" s="314">
        <v>0</v>
      </c>
      <c r="U517" s="314">
        <v>0.37716002226123324</v>
      </c>
      <c r="V517" s="315"/>
    </row>
    <row r="518" spans="1:22">
      <c r="A518" s="310"/>
      <c r="B518" s="316" t="s">
        <v>547</v>
      </c>
      <c r="C518" s="317">
        <v>17.184029082047886</v>
      </c>
      <c r="D518" s="318">
        <v>33.671605750130027</v>
      </c>
      <c r="E518" s="318">
        <v>31.762292397571766</v>
      </c>
      <c r="F518" s="318">
        <v>8.511620144485823</v>
      </c>
      <c r="G518" s="318">
        <v>15.836589778679755</v>
      </c>
      <c r="H518" s="318">
        <v>2.0378140817376602</v>
      </c>
      <c r="I518" s="318">
        <v>0</v>
      </c>
      <c r="J518" s="320">
        <v>20.03980361017187</v>
      </c>
      <c r="K518" s="320">
        <v>0</v>
      </c>
      <c r="L518" s="318">
        <v>23.018183798426474</v>
      </c>
      <c r="M518" s="318">
        <v>24.890448606788162</v>
      </c>
      <c r="N518" s="318">
        <v>13.209220006590122</v>
      </c>
      <c r="O518" s="320">
        <v>22.064094625521914</v>
      </c>
      <c r="P518" s="320">
        <v>0</v>
      </c>
      <c r="Q518" s="318">
        <v>0</v>
      </c>
      <c r="R518" s="320">
        <v>0</v>
      </c>
      <c r="S518" s="320">
        <v>0</v>
      </c>
      <c r="T518" s="320">
        <v>0</v>
      </c>
      <c r="U518" s="320">
        <v>20.584778044556721</v>
      </c>
      <c r="V518" s="315"/>
    </row>
    <row r="519" spans="1:22">
      <c r="A519" s="310"/>
      <c r="B519" s="55" t="s">
        <v>548</v>
      </c>
      <c r="C519" s="307">
        <v>7.812328261894352E-3</v>
      </c>
      <c r="D519" s="308">
        <v>0</v>
      </c>
      <c r="E519" s="308">
        <v>6.6505155155573885E-4</v>
      </c>
      <c r="F519" s="308">
        <v>0</v>
      </c>
      <c r="G519" s="308">
        <v>3.219987967978293E-5</v>
      </c>
      <c r="H519" s="308">
        <v>0</v>
      </c>
      <c r="I519" s="308">
        <v>0</v>
      </c>
      <c r="J519" s="309">
        <v>5.288183200989633E-3</v>
      </c>
      <c r="K519" s="309">
        <v>0</v>
      </c>
      <c r="L519" s="308">
        <v>3.4671301228770694E-4</v>
      </c>
      <c r="M519" s="308">
        <v>6.0545036237333642E-2</v>
      </c>
      <c r="N519" s="308">
        <v>6.1220169271499758E-2</v>
      </c>
      <c r="O519" s="309">
        <v>2.3727734190074581E-2</v>
      </c>
      <c r="P519" s="309">
        <v>0</v>
      </c>
      <c r="Q519" s="308">
        <v>0</v>
      </c>
      <c r="R519" s="309">
        <v>0</v>
      </c>
      <c r="S519" s="309">
        <v>0</v>
      </c>
      <c r="T519" s="309">
        <v>0</v>
      </c>
      <c r="U519" s="309">
        <v>1.2191373994894074E-2</v>
      </c>
      <c r="V519" s="315"/>
    </row>
    <row r="520" spans="1:22">
      <c r="A520" s="310"/>
      <c r="B520" s="311" t="s">
        <v>549</v>
      </c>
      <c r="C520" s="312">
        <v>0.16450357106688335</v>
      </c>
      <c r="D520" s="313">
        <v>8.8732055752372807E-2</v>
      </c>
      <c r="E520" s="313">
        <v>5.142413639103156E-3</v>
      </c>
      <c r="F520" s="313">
        <v>0</v>
      </c>
      <c r="G520" s="313">
        <v>0.1237831809791685</v>
      </c>
      <c r="H520" s="313">
        <v>0</v>
      </c>
      <c r="I520" s="313">
        <v>0</v>
      </c>
      <c r="J520" s="314">
        <v>0.12310831122737295</v>
      </c>
      <c r="K520" s="314">
        <v>0</v>
      </c>
      <c r="L520" s="313">
        <v>3.1810412528294911E-2</v>
      </c>
      <c r="M520" s="313">
        <v>5.2926790517153328E-2</v>
      </c>
      <c r="N520" s="313">
        <v>8.5326275934010737E-2</v>
      </c>
      <c r="O520" s="314">
        <v>4.4805992933972777E-2</v>
      </c>
      <c r="P520" s="314">
        <v>0</v>
      </c>
      <c r="Q520" s="313">
        <v>0</v>
      </c>
      <c r="R520" s="314">
        <v>0</v>
      </c>
      <c r="S520" s="314">
        <v>0</v>
      </c>
      <c r="T520" s="314">
        <v>0</v>
      </c>
      <c r="U520" s="314">
        <v>9.4564271830562166E-2</v>
      </c>
      <c r="V520" s="315"/>
    </row>
    <row r="521" spans="1:22">
      <c r="A521" s="310"/>
      <c r="B521" s="316" t="s">
        <v>550</v>
      </c>
      <c r="C521" s="317">
        <v>15.669124280498901</v>
      </c>
      <c r="D521" s="318">
        <v>0</v>
      </c>
      <c r="E521" s="318">
        <v>0.44773620875474174</v>
      </c>
      <c r="F521" s="318">
        <v>0</v>
      </c>
      <c r="G521" s="318">
        <v>12.375098109948873</v>
      </c>
      <c r="H521" s="318">
        <v>0</v>
      </c>
      <c r="I521" s="318">
        <v>0</v>
      </c>
      <c r="J521" s="320">
        <v>11.782012802638333</v>
      </c>
      <c r="K521" s="320">
        <v>0</v>
      </c>
      <c r="L521" s="318">
        <v>3.1463699516007209</v>
      </c>
      <c r="M521" s="318">
        <v>-0.76182457201803144</v>
      </c>
      <c r="N521" s="318">
        <v>2.410610666251098</v>
      </c>
      <c r="O521" s="320">
        <v>2.1078258743898197</v>
      </c>
      <c r="P521" s="320">
        <v>0</v>
      </c>
      <c r="Q521" s="318">
        <v>0</v>
      </c>
      <c r="R521" s="320">
        <v>0</v>
      </c>
      <c r="S521" s="320">
        <v>0</v>
      </c>
      <c r="T521" s="320">
        <v>0</v>
      </c>
      <c r="U521" s="320">
        <v>8.2372897835668084</v>
      </c>
      <c r="V521" s="315"/>
    </row>
    <row r="522" spans="1:22">
      <c r="A522" s="310"/>
      <c r="B522" s="55" t="s">
        <v>551</v>
      </c>
      <c r="C522" s="307">
        <v>1.5265609390914399E-5</v>
      </c>
      <c r="D522" s="308">
        <v>0</v>
      </c>
      <c r="E522" s="308">
        <v>0</v>
      </c>
      <c r="F522" s="308">
        <v>0</v>
      </c>
      <c r="G522" s="308">
        <v>0</v>
      </c>
      <c r="H522" s="308">
        <v>0</v>
      </c>
      <c r="I522" s="308">
        <v>0</v>
      </c>
      <c r="J522" s="309">
        <v>1.008117889467293E-5</v>
      </c>
      <c r="K522" s="309">
        <v>0</v>
      </c>
      <c r="L522" s="308">
        <v>0</v>
      </c>
      <c r="M522" s="308">
        <v>0</v>
      </c>
      <c r="N522" s="308">
        <v>0</v>
      </c>
      <c r="O522" s="309">
        <v>0</v>
      </c>
      <c r="P522" s="309">
        <v>0</v>
      </c>
      <c r="Q522" s="308">
        <v>0</v>
      </c>
      <c r="R522" s="309">
        <v>0</v>
      </c>
      <c r="S522" s="309">
        <v>0</v>
      </c>
      <c r="T522" s="309">
        <v>0</v>
      </c>
      <c r="U522" s="309">
        <v>6.3071010237635919E-6</v>
      </c>
      <c r="V522" s="315"/>
    </row>
    <row r="523" spans="1:22">
      <c r="A523" s="310"/>
      <c r="B523" s="311" t="s">
        <v>552</v>
      </c>
      <c r="C523" s="312">
        <v>1.5070336273455471E-6</v>
      </c>
      <c r="D523" s="313">
        <v>0</v>
      </c>
      <c r="E523" s="313">
        <v>0</v>
      </c>
      <c r="F523" s="313">
        <v>0</v>
      </c>
      <c r="G523" s="313">
        <v>0</v>
      </c>
      <c r="H523" s="313">
        <v>0</v>
      </c>
      <c r="I523" s="313">
        <v>0</v>
      </c>
      <c r="J523" s="314">
        <v>1.0061197637075417E-6</v>
      </c>
      <c r="K523" s="314">
        <v>0</v>
      </c>
      <c r="L523" s="313">
        <v>7.1869081165981431E-3</v>
      </c>
      <c r="M523" s="313">
        <v>1.8214419465029448E-3</v>
      </c>
      <c r="N523" s="313">
        <v>1.7477688057798556E-2</v>
      </c>
      <c r="O523" s="314">
        <v>7.3550664649939803E-3</v>
      </c>
      <c r="P523" s="314">
        <v>0</v>
      </c>
      <c r="Q523" s="313">
        <v>0</v>
      </c>
      <c r="R523" s="314">
        <v>0</v>
      </c>
      <c r="S523" s="314">
        <v>0</v>
      </c>
      <c r="T523" s="314">
        <v>0</v>
      </c>
      <c r="U523" s="314">
        <v>2.6818282562708689E-3</v>
      </c>
      <c r="V523" s="315"/>
    </row>
    <row r="524" spans="1:22">
      <c r="A524" s="310"/>
      <c r="B524" s="316" t="s">
        <v>553</v>
      </c>
      <c r="C524" s="317">
        <v>-1.3758575763568853E-3</v>
      </c>
      <c r="D524" s="318">
        <v>0</v>
      </c>
      <c r="E524" s="318">
        <v>0</v>
      </c>
      <c r="F524" s="318">
        <v>0</v>
      </c>
      <c r="G524" s="318">
        <v>0</v>
      </c>
      <c r="H524" s="318">
        <v>0</v>
      </c>
      <c r="I524" s="318">
        <v>0</v>
      </c>
      <c r="J524" s="320">
        <v>-9.0750591309653888E-4</v>
      </c>
      <c r="K524" s="320">
        <v>0</v>
      </c>
      <c r="L524" s="318">
        <v>0</v>
      </c>
      <c r="M524" s="318">
        <v>0</v>
      </c>
      <c r="N524" s="318">
        <v>0</v>
      </c>
      <c r="O524" s="320">
        <v>0</v>
      </c>
      <c r="P524" s="320">
        <v>0</v>
      </c>
      <c r="Q524" s="318">
        <v>0</v>
      </c>
      <c r="R524" s="320">
        <v>0</v>
      </c>
      <c r="S524" s="320">
        <v>0</v>
      </c>
      <c r="T524" s="320">
        <v>0</v>
      </c>
      <c r="U524" s="320">
        <v>0.26755211552471053</v>
      </c>
      <c r="V524" s="315"/>
    </row>
    <row r="525" spans="1:22">
      <c r="A525" s="310"/>
      <c r="B525" s="55" t="s">
        <v>554</v>
      </c>
      <c r="C525" s="307">
        <v>0</v>
      </c>
      <c r="D525" s="308">
        <v>0</v>
      </c>
      <c r="E525" s="308">
        <v>0</v>
      </c>
      <c r="F525" s="308">
        <v>0</v>
      </c>
      <c r="G525" s="308">
        <v>0</v>
      </c>
      <c r="H525" s="308">
        <v>0</v>
      </c>
      <c r="I525" s="308">
        <v>0</v>
      </c>
      <c r="J525" s="309">
        <v>0</v>
      </c>
      <c r="K525" s="309">
        <v>0</v>
      </c>
      <c r="L525" s="308">
        <v>0</v>
      </c>
      <c r="M525" s="308">
        <v>0</v>
      </c>
      <c r="N525" s="308">
        <v>0</v>
      </c>
      <c r="O525" s="309">
        <v>0</v>
      </c>
      <c r="P525" s="309">
        <v>0</v>
      </c>
      <c r="Q525" s="308">
        <v>0</v>
      </c>
      <c r="R525" s="309">
        <v>0</v>
      </c>
      <c r="S525" s="309">
        <v>0</v>
      </c>
      <c r="T525" s="309">
        <v>0</v>
      </c>
      <c r="U525" s="309">
        <v>0</v>
      </c>
      <c r="V525" s="315"/>
    </row>
    <row r="526" spans="1:22">
      <c r="A526" s="310"/>
      <c r="B526" s="311" t="s">
        <v>555</v>
      </c>
      <c r="C526" s="312">
        <v>0</v>
      </c>
      <c r="D526" s="313">
        <v>0</v>
      </c>
      <c r="E526" s="313">
        <v>0</v>
      </c>
      <c r="F526" s="313">
        <v>0</v>
      </c>
      <c r="G526" s="313">
        <v>0</v>
      </c>
      <c r="H526" s="313">
        <v>0</v>
      </c>
      <c r="I526" s="313">
        <v>0</v>
      </c>
      <c r="J526" s="314">
        <v>0</v>
      </c>
      <c r="K526" s="314">
        <v>0</v>
      </c>
      <c r="L526" s="313">
        <v>0</v>
      </c>
      <c r="M526" s="313">
        <v>0</v>
      </c>
      <c r="N526" s="313">
        <v>0</v>
      </c>
      <c r="O526" s="314">
        <v>0</v>
      </c>
      <c r="P526" s="314">
        <v>0</v>
      </c>
      <c r="Q526" s="313">
        <v>0</v>
      </c>
      <c r="R526" s="314">
        <v>0</v>
      </c>
      <c r="S526" s="314">
        <v>0</v>
      </c>
      <c r="T526" s="314">
        <v>0</v>
      </c>
      <c r="U526" s="314">
        <v>0</v>
      </c>
      <c r="V526" s="315"/>
    </row>
    <row r="527" spans="1:22" ht="15" thickBot="1">
      <c r="A527" s="310"/>
      <c r="B527" s="322" t="s">
        <v>556</v>
      </c>
      <c r="C527" s="323">
        <v>0</v>
      </c>
      <c r="D527" s="324">
        <v>0</v>
      </c>
      <c r="E527" s="324">
        <v>0</v>
      </c>
      <c r="F527" s="324">
        <v>0</v>
      </c>
      <c r="G527" s="324">
        <v>0</v>
      </c>
      <c r="H527" s="324">
        <v>0</v>
      </c>
      <c r="I527" s="324">
        <v>0</v>
      </c>
      <c r="J527" s="325">
        <v>0</v>
      </c>
      <c r="K527" s="325">
        <v>0</v>
      </c>
      <c r="L527" s="324">
        <v>0</v>
      </c>
      <c r="M527" s="324">
        <v>0</v>
      </c>
      <c r="N527" s="324">
        <v>0</v>
      </c>
      <c r="O527" s="325">
        <v>0</v>
      </c>
      <c r="P527" s="325">
        <v>0</v>
      </c>
      <c r="Q527" s="324">
        <v>0</v>
      </c>
      <c r="R527" s="325">
        <v>0</v>
      </c>
      <c r="S527" s="325">
        <v>0</v>
      </c>
      <c r="T527" s="325">
        <v>0</v>
      </c>
      <c r="U527" s="325">
        <v>0</v>
      </c>
      <c r="V527" s="315"/>
    </row>
    <row r="528" spans="1:22" ht="15" thickTop="1">
      <c r="A528" s="310"/>
      <c r="B528" s="311" t="s">
        <v>557</v>
      </c>
      <c r="C528" s="312">
        <v>0.76509366211083785</v>
      </c>
      <c r="D528" s="313">
        <v>0.76588335504559579</v>
      </c>
      <c r="E528" s="313">
        <v>0.55941851056112057</v>
      </c>
      <c r="F528" s="313">
        <v>0.77776613579212073</v>
      </c>
      <c r="G528" s="313">
        <v>0.46218826276132863</v>
      </c>
      <c r="H528" s="313">
        <v>0</v>
      </c>
      <c r="I528" s="313">
        <v>0</v>
      </c>
      <c r="J528" s="314">
        <v>0.74189393376150259</v>
      </c>
      <c r="K528" s="314">
        <v>0</v>
      </c>
      <c r="L528" s="313">
        <v>0</v>
      </c>
      <c r="M528" s="313">
        <v>0</v>
      </c>
      <c r="N528" s="313">
        <v>0</v>
      </c>
      <c r="O528" s="314">
        <v>0</v>
      </c>
      <c r="P528" s="314">
        <v>0</v>
      </c>
      <c r="Q528" s="313">
        <v>0</v>
      </c>
      <c r="R528" s="314">
        <v>0</v>
      </c>
      <c r="S528" s="314">
        <v>0</v>
      </c>
      <c r="T528" s="314">
        <v>0</v>
      </c>
      <c r="U528" s="314">
        <v>0.74189393376150259</v>
      </c>
      <c r="V528" s="315"/>
    </row>
    <row r="529" spans="1:22">
      <c r="A529" s="310"/>
      <c r="B529" s="311" t="s">
        <v>558</v>
      </c>
      <c r="C529" s="312">
        <v>0.56913535332776977</v>
      </c>
      <c r="D529" s="313">
        <v>0.4570642246131314</v>
      </c>
      <c r="E529" s="313">
        <v>0.37490430534796398</v>
      </c>
      <c r="F529" s="313">
        <v>0.72064203941933203</v>
      </c>
      <c r="G529" s="313">
        <v>0.23287525111557542</v>
      </c>
      <c r="H529" s="313">
        <v>0</v>
      </c>
      <c r="I529" s="313">
        <v>0</v>
      </c>
      <c r="J529" s="314">
        <v>0.53649764098931385</v>
      </c>
      <c r="K529" s="314">
        <v>0</v>
      </c>
      <c r="L529" s="313">
        <v>0</v>
      </c>
      <c r="M529" s="313">
        <v>0</v>
      </c>
      <c r="N529" s="313">
        <v>0</v>
      </c>
      <c r="O529" s="314">
        <v>0</v>
      </c>
      <c r="P529" s="314">
        <v>0</v>
      </c>
      <c r="Q529" s="313">
        <v>0</v>
      </c>
      <c r="R529" s="314">
        <v>0</v>
      </c>
      <c r="S529" s="314">
        <v>0</v>
      </c>
      <c r="T529" s="314">
        <v>0</v>
      </c>
      <c r="U529" s="314">
        <v>0.53649764098931385</v>
      </c>
      <c r="V529" s="315"/>
    </row>
    <row r="530" spans="1:22">
      <c r="A530" s="310"/>
      <c r="B530" s="316" t="s">
        <v>559</v>
      </c>
      <c r="C530" s="317">
        <v>-19.595830878306806</v>
      </c>
      <c r="D530" s="318">
        <v>-30.881913043246438</v>
      </c>
      <c r="E530" s="318">
        <v>-18.451420521315658</v>
      </c>
      <c r="F530" s="318">
        <v>-5.7124096372788706</v>
      </c>
      <c r="G530" s="318">
        <v>-22.93130116457532</v>
      </c>
      <c r="H530" s="318">
        <v>0</v>
      </c>
      <c r="I530" s="318">
        <v>0</v>
      </c>
      <c r="J530" s="320">
        <v>-20.539629277218875</v>
      </c>
      <c r="K530" s="320">
        <v>0</v>
      </c>
      <c r="L530" s="318">
        <v>0</v>
      </c>
      <c r="M530" s="318">
        <v>0</v>
      </c>
      <c r="N530" s="318">
        <v>0</v>
      </c>
      <c r="O530" s="320">
        <v>0</v>
      </c>
      <c r="P530" s="320">
        <v>0</v>
      </c>
      <c r="Q530" s="318">
        <v>0</v>
      </c>
      <c r="R530" s="320">
        <v>0</v>
      </c>
      <c r="S530" s="320">
        <v>0</v>
      </c>
      <c r="T530" s="320">
        <v>0</v>
      </c>
      <c r="U530" s="320">
        <v>-20.539629277218875</v>
      </c>
      <c r="V530" s="315"/>
    </row>
    <row r="531" spans="1:22">
      <c r="A531" s="310"/>
      <c r="B531" s="55" t="s">
        <v>560</v>
      </c>
      <c r="C531" s="307">
        <v>6.6126948173305347E-2</v>
      </c>
      <c r="D531" s="308">
        <v>7.5892708020175698E-2</v>
      </c>
      <c r="E531" s="308">
        <v>0.13559251095175648</v>
      </c>
      <c r="F531" s="308">
        <v>9.4300083822296732E-4</v>
      </c>
      <c r="G531" s="308">
        <v>0.15494004032685982</v>
      </c>
      <c r="H531" s="308">
        <v>0</v>
      </c>
      <c r="I531" s="308">
        <v>0</v>
      </c>
      <c r="J531" s="309">
        <v>7.3693902878417872E-2</v>
      </c>
      <c r="K531" s="309">
        <v>0</v>
      </c>
      <c r="L531" s="308">
        <v>0</v>
      </c>
      <c r="M531" s="308">
        <v>0</v>
      </c>
      <c r="N531" s="308">
        <v>0</v>
      </c>
      <c r="O531" s="309">
        <v>0</v>
      </c>
      <c r="P531" s="309">
        <v>0</v>
      </c>
      <c r="Q531" s="308">
        <v>0</v>
      </c>
      <c r="R531" s="309">
        <v>0</v>
      </c>
      <c r="S531" s="309">
        <v>0</v>
      </c>
      <c r="T531" s="309">
        <v>0</v>
      </c>
      <c r="U531" s="309">
        <v>7.3693902878417872E-2</v>
      </c>
      <c r="V531" s="315"/>
    </row>
    <row r="532" spans="1:22">
      <c r="A532" s="310"/>
      <c r="B532" s="311" t="s">
        <v>561</v>
      </c>
      <c r="C532" s="312">
        <v>4.2576930073163585E-2</v>
      </c>
      <c r="D532" s="313">
        <v>5.5565838074468688E-2</v>
      </c>
      <c r="E532" s="313">
        <v>0.12426330307559574</v>
      </c>
      <c r="F532" s="313">
        <v>0</v>
      </c>
      <c r="G532" s="313">
        <v>3.5333961492648759E-2</v>
      </c>
      <c r="H532" s="313">
        <v>0</v>
      </c>
      <c r="I532" s="313">
        <v>0</v>
      </c>
      <c r="J532" s="314">
        <v>5.0399406587632117E-2</v>
      </c>
      <c r="K532" s="314">
        <v>0</v>
      </c>
      <c r="L532" s="313">
        <v>0</v>
      </c>
      <c r="M532" s="313">
        <v>0</v>
      </c>
      <c r="N532" s="313">
        <v>0</v>
      </c>
      <c r="O532" s="314">
        <v>0</v>
      </c>
      <c r="P532" s="314">
        <v>0</v>
      </c>
      <c r="Q532" s="313">
        <v>0</v>
      </c>
      <c r="R532" s="314">
        <v>0</v>
      </c>
      <c r="S532" s="314">
        <v>0</v>
      </c>
      <c r="T532" s="314">
        <v>0</v>
      </c>
      <c r="U532" s="314">
        <v>5.0399406587632117E-2</v>
      </c>
      <c r="V532" s="315"/>
    </row>
    <row r="533" spans="1:22">
      <c r="A533" s="310"/>
      <c r="B533" s="316" t="s">
        <v>562</v>
      </c>
      <c r="C533" s="317">
        <v>-2.3550018100141763</v>
      </c>
      <c r="D533" s="318">
        <v>-2.0326869945707009</v>
      </c>
      <c r="E533" s="318">
        <v>-1.1329207876160736</v>
      </c>
      <c r="F533" s="318">
        <v>-9.4300083822296737E-2</v>
      </c>
      <c r="G533" s="318">
        <v>-11.960607883421106</v>
      </c>
      <c r="H533" s="318">
        <v>0</v>
      </c>
      <c r="I533" s="318">
        <v>0</v>
      </c>
      <c r="J533" s="320">
        <v>-2.3294496290785753</v>
      </c>
      <c r="K533" s="320">
        <v>0</v>
      </c>
      <c r="L533" s="318">
        <v>0</v>
      </c>
      <c r="M533" s="318">
        <v>0</v>
      </c>
      <c r="N533" s="318">
        <v>0</v>
      </c>
      <c r="O533" s="320">
        <v>0</v>
      </c>
      <c r="P533" s="320">
        <v>0</v>
      </c>
      <c r="Q533" s="318">
        <v>0</v>
      </c>
      <c r="R533" s="320">
        <v>0</v>
      </c>
      <c r="S533" s="320">
        <v>0</v>
      </c>
      <c r="T533" s="320">
        <v>0</v>
      </c>
      <c r="U533" s="320">
        <v>-2.3294496290785753</v>
      </c>
      <c r="V533" s="315"/>
    </row>
    <row r="534" spans="1:22">
      <c r="A534" s="310"/>
      <c r="B534" s="55" t="s">
        <v>563</v>
      </c>
      <c r="C534" s="307">
        <v>0.13016170555896983</v>
      </c>
      <c r="D534" s="308">
        <v>0.15822393693422854</v>
      </c>
      <c r="E534" s="308">
        <v>0.27193839113814561</v>
      </c>
      <c r="F534" s="308">
        <v>0.22129086336965634</v>
      </c>
      <c r="G534" s="308">
        <v>0.3771410378860236</v>
      </c>
      <c r="H534" s="308">
        <v>0</v>
      </c>
      <c r="I534" s="308">
        <v>0</v>
      </c>
      <c r="J534" s="309">
        <v>0.15002613624015601</v>
      </c>
      <c r="K534" s="309">
        <v>0</v>
      </c>
      <c r="L534" s="308">
        <v>0</v>
      </c>
      <c r="M534" s="308">
        <v>0</v>
      </c>
      <c r="N534" s="308">
        <v>0</v>
      </c>
      <c r="O534" s="309">
        <v>0</v>
      </c>
      <c r="P534" s="309">
        <v>0</v>
      </c>
      <c r="Q534" s="308">
        <v>0</v>
      </c>
      <c r="R534" s="309">
        <v>0</v>
      </c>
      <c r="S534" s="309">
        <v>0</v>
      </c>
      <c r="T534" s="309">
        <v>0</v>
      </c>
      <c r="U534" s="309">
        <v>0.15002613624015601</v>
      </c>
      <c r="V534" s="315"/>
    </row>
    <row r="535" spans="1:22">
      <c r="A535" s="310"/>
      <c r="B535" s="311" t="s">
        <v>564</v>
      </c>
      <c r="C535" s="312">
        <v>0.24287908221287563</v>
      </c>
      <c r="D535" s="313">
        <v>0.41633740252842671</v>
      </c>
      <c r="E535" s="313">
        <v>0.49746637016514161</v>
      </c>
      <c r="F535" s="313">
        <v>0.27935796058066803</v>
      </c>
      <c r="G535" s="313">
        <v>0.65952283596152828</v>
      </c>
      <c r="H535" s="313">
        <v>0</v>
      </c>
      <c r="I535" s="313">
        <v>0</v>
      </c>
      <c r="J535" s="314">
        <v>0.28911992090812727</v>
      </c>
      <c r="K535" s="314">
        <v>0</v>
      </c>
      <c r="L535" s="313">
        <v>0</v>
      </c>
      <c r="M535" s="313">
        <v>0</v>
      </c>
      <c r="N535" s="313">
        <v>0</v>
      </c>
      <c r="O535" s="314">
        <v>0</v>
      </c>
      <c r="P535" s="314">
        <v>0</v>
      </c>
      <c r="Q535" s="313">
        <v>0</v>
      </c>
      <c r="R535" s="314">
        <v>0</v>
      </c>
      <c r="S535" s="314">
        <v>0</v>
      </c>
      <c r="T535" s="314">
        <v>0</v>
      </c>
      <c r="U535" s="314">
        <v>0.28911992090812727</v>
      </c>
      <c r="V535" s="315"/>
    </row>
    <row r="536" spans="1:22">
      <c r="A536" s="310"/>
      <c r="B536" s="316" t="s">
        <v>565</v>
      </c>
      <c r="C536" s="317">
        <v>11.27173766539058</v>
      </c>
      <c r="D536" s="318">
        <v>25.811346559419817</v>
      </c>
      <c r="E536" s="318">
        <v>22.552797902699602</v>
      </c>
      <c r="F536" s="318">
        <v>5.8067097211011696</v>
      </c>
      <c r="G536" s="318">
        <v>28.238179807550466</v>
      </c>
      <c r="H536" s="318">
        <v>0</v>
      </c>
      <c r="I536" s="318">
        <v>0</v>
      </c>
      <c r="J536" s="320">
        <v>13.909378466797126</v>
      </c>
      <c r="K536" s="320">
        <v>0</v>
      </c>
      <c r="L536" s="318">
        <v>0</v>
      </c>
      <c r="M536" s="318">
        <v>0</v>
      </c>
      <c r="N536" s="318">
        <v>0</v>
      </c>
      <c r="O536" s="320">
        <v>0</v>
      </c>
      <c r="P536" s="320">
        <v>0</v>
      </c>
      <c r="Q536" s="318">
        <v>0</v>
      </c>
      <c r="R536" s="320">
        <v>0</v>
      </c>
      <c r="S536" s="320">
        <v>0</v>
      </c>
      <c r="T536" s="320">
        <v>0</v>
      </c>
      <c r="U536" s="320">
        <v>13.909378466797126</v>
      </c>
      <c r="V536" s="315"/>
    </row>
    <row r="537" spans="1:22">
      <c r="A537" s="310"/>
      <c r="B537" s="55" t="s">
        <v>566</v>
      </c>
      <c r="C537" s="307">
        <v>3.6012420151668084E-2</v>
      </c>
      <c r="D537" s="308">
        <v>0</v>
      </c>
      <c r="E537" s="308">
        <v>3.3050587348977374E-2</v>
      </c>
      <c r="F537" s="308">
        <v>0</v>
      </c>
      <c r="G537" s="308">
        <v>5.7306590257879654E-3</v>
      </c>
      <c r="H537" s="308">
        <v>0</v>
      </c>
      <c r="I537" s="308">
        <v>0</v>
      </c>
      <c r="J537" s="309">
        <v>3.2257381915094391E-2</v>
      </c>
      <c r="K537" s="309">
        <v>0</v>
      </c>
      <c r="L537" s="308">
        <v>0</v>
      </c>
      <c r="M537" s="308">
        <v>0</v>
      </c>
      <c r="N537" s="308">
        <v>0</v>
      </c>
      <c r="O537" s="309">
        <v>0</v>
      </c>
      <c r="P537" s="309">
        <v>0</v>
      </c>
      <c r="Q537" s="308">
        <v>0</v>
      </c>
      <c r="R537" s="309">
        <v>0</v>
      </c>
      <c r="S537" s="309">
        <v>0</v>
      </c>
      <c r="T537" s="309">
        <v>0</v>
      </c>
      <c r="U537" s="309">
        <v>3.2257381915094391E-2</v>
      </c>
      <c r="V537" s="315"/>
    </row>
    <row r="538" spans="1:22">
      <c r="A538" s="310"/>
      <c r="B538" s="311" t="s">
        <v>567</v>
      </c>
      <c r="C538" s="312">
        <v>0.14279951733417387</v>
      </c>
      <c r="D538" s="313">
        <v>7.1032534783973214E-2</v>
      </c>
      <c r="E538" s="313">
        <v>3.3660214112986525E-3</v>
      </c>
      <c r="F538" s="313">
        <v>0</v>
      </c>
      <c r="G538" s="313">
        <v>7.2267951430247654E-2</v>
      </c>
      <c r="H538" s="313">
        <v>0</v>
      </c>
      <c r="I538" s="313">
        <v>0</v>
      </c>
      <c r="J538" s="314">
        <v>0.12188491726071364</v>
      </c>
      <c r="K538" s="314">
        <v>0</v>
      </c>
      <c r="L538" s="313">
        <v>0</v>
      </c>
      <c r="M538" s="313">
        <v>0</v>
      </c>
      <c r="N538" s="313">
        <v>0</v>
      </c>
      <c r="O538" s="314">
        <v>0</v>
      </c>
      <c r="P538" s="314">
        <v>0</v>
      </c>
      <c r="Q538" s="313">
        <v>0</v>
      </c>
      <c r="R538" s="314">
        <v>0</v>
      </c>
      <c r="S538" s="314">
        <v>0</v>
      </c>
      <c r="T538" s="314">
        <v>0</v>
      </c>
      <c r="U538" s="314">
        <v>0.12188491726071364</v>
      </c>
      <c r="V538" s="315"/>
    </row>
    <row r="539" spans="1:22">
      <c r="A539" s="310"/>
      <c r="B539" s="316" t="s">
        <v>568</v>
      </c>
      <c r="C539" s="317">
        <v>10.678709718250579</v>
      </c>
      <c r="D539" s="318">
        <v>0</v>
      </c>
      <c r="E539" s="318">
        <v>-2.9684565937678724</v>
      </c>
      <c r="F539" s="318">
        <v>0</v>
      </c>
      <c r="G539" s="318">
        <v>6.6537292404459683</v>
      </c>
      <c r="H539" s="318">
        <v>0</v>
      </c>
      <c r="I539" s="318">
        <v>0</v>
      </c>
      <c r="J539" s="320">
        <v>8.9627535345619247</v>
      </c>
      <c r="K539" s="320">
        <v>0</v>
      </c>
      <c r="L539" s="318">
        <v>0</v>
      </c>
      <c r="M539" s="318">
        <v>0</v>
      </c>
      <c r="N539" s="318">
        <v>0</v>
      </c>
      <c r="O539" s="320">
        <v>0</v>
      </c>
      <c r="P539" s="320">
        <v>0</v>
      </c>
      <c r="Q539" s="318">
        <v>0</v>
      </c>
      <c r="R539" s="320">
        <v>0</v>
      </c>
      <c r="S539" s="320">
        <v>0</v>
      </c>
      <c r="T539" s="320">
        <v>0</v>
      </c>
      <c r="U539" s="320">
        <v>8.9627535345619247</v>
      </c>
      <c r="V539" s="315"/>
    </row>
    <row r="540" spans="1:22">
      <c r="A540" s="310"/>
      <c r="B540" s="55" t="s">
        <v>569</v>
      </c>
      <c r="C540" s="307">
        <v>2.6052640052189277E-3</v>
      </c>
      <c r="D540" s="308">
        <v>0</v>
      </c>
      <c r="E540" s="308">
        <v>0</v>
      </c>
      <c r="F540" s="308">
        <v>0</v>
      </c>
      <c r="G540" s="308">
        <v>0</v>
      </c>
      <c r="H540" s="308">
        <v>0</v>
      </c>
      <c r="I540" s="308">
        <v>0</v>
      </c>
      <c r="J540" s="309">
        <v>2.1286452048291994E-3</v>
      </c>
      <c r="K540" s="309">
        <v>0</v>
      </c>
      <c r="L540" s="308">
        <v>0</v>
      </c>
      <c r="M540" s="308">
        <v>0</v>
      </c>
      <c r="N540" s="308">
        <v>0</v>
      </c>
      <c r="O540" s="309">
        <v>0</v>
      </c>
      <c r="P540" s="309">
        <v>0</v>
      </c>
      <c r="Q540" s="308">
        <v>0</v>
      </c>
      <c r="R540" s="309">
        <v>0</v>
      </c>
      <c r="S540" s="309">
        <v>0</v>
      </c>
      <c r="T540" s="309">
        <v>0</v>
      </c>
      <c r="U540" s="309">
        <v>2.1286452048291994E-3</v>
      </c>
      <c r="V540" s="315"/>
    </row>
    <row r="541" spans="1:22">
      <c r="A541" s="310"/>
      <c r="B541" s="311" t="s">
        <v>570</v>
      </c>
      <c r="C541" s="312">
        <v>2.6091170520171018E-3</v>
      </c>
      <c r="D541" s="313">
        <v>0</v>
      </c>
      <c r="E541" s="313">
        <v>0</v>
      </c>
      <c r="F541" s="313">
        <v>0</v>
      </c>
      <c r="G541" s="313">
        <v>0</v>
      </c>
      <c r="H541" s="313">
        <v>0</v>
      </c>
      <c r="I541" s="313">
        <v>0</v>
      </c>
      <c r="J541" s="314">
        <v>2.0981142542130615E-3</v>
      </c>
      <c r="K541" s="314">
        <v>0</v>
      </c>
      <c r="L541" s="313">
        <v>0</v>
      </c>
      <c r="M541" s="313">
        <v>0</v>
      </c>
      <c r="N541" s="313">
        <v>0</v>
      </c>
      <c r="O541" s="314">
        <v>0</v>
      </c>
      <c r="P541" s="314">
        <v>0</v>
      </c>
      <c r="Q541" s="313">
        <v>0</v>
      </c>
      <c r="R541" s="314">
        <v>0</v>
      </c>
      <c r="S541" s="314">
        <v>0</v>
      </c>
      <c r="T541" s="314">
        <v>0</v>
      </c>
      <c r="U541" s="314">
        <v>2.0981142542130615E-3</v>
      </c>
      <c r="V541" s="315"/>
    </row>
    <row r="542" spans="1:22">
      <c r="A542" s="310"/>
      <c r="B542" s="316" t="s">
        <v>571</v>
      </c>
      <c r="C542" s="317">
        <v>3.8530467981741194E-4</v>
      </c>
      <c r="D542" s="318">
        <v>0</v>
      </c>
      <c r="E542" s="318">
        <v>0</v>
      </c>
      <c r="F542" s="318">
        <v>0</v>
      </c>
      <c r="G542" s="318">
        <v>0</v>
      </c>
      <c r="H542" s="318">
        <v>0</v>
      </c>
      <c r="I542" s="318">
        <v>0</v>
      </c>
      <c r="J542" s="320">
        <v>-3.0530950616137857E-3</v>
      </c>
      <c r="K542" s="320">
        <v>0</v>
      </c>
      <c r="L542" s="318">
        <v>0</v>
      </c>
      <c r="M542" s="318">
        <v>0</v>
      </c>
      <c r="N542" s="318">
        <v>0</v>
      </c>
      <c r="O542" s="320">
        <v>0</v>
      </c>
      <c r="P542" s="320">
        <v>0</v>
      </c>
      <c r="Q542" s="318">
        <v>0</v>
      </c>
      <c r="R542" s="320">
        <v>0</v>
      </c>
      <c r="S542" s="320">
        <v>0</v>
      </c>
      <c r="T542" s="320">
        <v>0</v>
      </c>
      <c r="U542" s="320">
        <v>-3.0530950616137857E-3</v>
      </c>
      <c r="V542" s="315"/>
    </row>
    <row r="543" spans="1:22">
      <c r="A543" s="310"/>
      <c r="B543" s="55" t="s">
        <v>572</v>
      </c>
      <c r="C543" s="307">
        <v>0</v>
      </c>
      <c r="D543" s="308">
        <v>0</v>
      </c>
      <c r="E543" s="308">
        <v>0</v>
      </c>
      <c r="F543" s="308">
        <v>0</v>
      </c>
      <c r="G543" s="308">
        <v>0</v>
      </c>
      <c r="H543" s="308">
        <v>0</v>
      </c>
      <c r="I543" s="308">
        <v>0</v>
      </c>
      <c r="J543" s="309">
        <v>0</v>
      </c>
      <c r="K543" s="309">
        <v>0</v>
      </c>
      <c r="L543" s="308">
        <v>0</v>
      </c>
      <c r="M543" s="308">
        <v>0</v>
      </c>
      <c r="N543" s="308">
        <v>0</v>
      </c>
      <c r="O543" s="309">
        <v>0</v>
      </c>
      <c r="P543" s="309">
        <v>0</v>
      </c>
      <c r="Q543" s="308">
        <v>0</v>
      </c>
      <c r="R543" s="309">
        <v>0</v>
      </c>
      <c r="S543" s="309">
        <v>0</v>
      </c>
      <c r="T543" s="309">
        <v>0</v>
      </c>
      <c r="U543" s="309">
        <v>0</v>
      </c>
      <c r="V543" s="315"/>
    </row>
    <row r="544" spans="1:22">
      <c r="A544" s="310"/>
      <c r="B544" s="311" t="s">
        <v>573</v>
      </c>
      <c r="C544" s="312">
        <v>0</v>
      </c>
      <c r="D544" s="313">
        <v>0</v>
      </c>
      <c r="E544" s="313">
        <v>0</v>
      </c>
      <c r="F544" s="313">
        <v>0</v>
      </c>
      <c r="G544" s="313">
        <v>0</v>
      </c>
      <c r="H544" s="313">
        <v>0</v>
      </c>
      <c r="I544" s="313">
        <v>0</v>
      </c>
      <c r="J544" s="314">
        <v>0</v>
      </c>
      <c r="K544" s="314">
        <v>0</v>
      </c>
      <c r="L544" s="313">
        <v>0</v>
      </c>
      <c r="M544" s="313">
        <v>0</v>
      </c>
      <c r="N544" s="313">
        <v>0</v>
      </c>
      <c r="O544" s="314">
        <v>0</v>
      </c>
      <c r="P544" s="314">
        <v>0</v>
      </c>
      <c r="Q544" s="313">
        <v>0</v>
      </c>
      <c r="R544" s="314">
        <v>0</v>
      </c>
      <c r="S544" s="314">
        <v>0</v>
      </c>
      <c r="T544" s="314">
        <v>0</v>
      </c>
      <c r="U544" s="314">
        <v>0</v>
      </c>
      <c r="V544" s="315"/>
    </row>
    <row r="545" spans="1:22" ht="15" thickBot="1">
      <c r="A545" s="326"/>
      <c r="B545" s="327" t="s">
        <v>574</v>
      </c>
      <c r="C545" s="328">
        <v>0</v>
      </c>
      <c r="D545" s="329">
        <v>0</v>
      </c>
      <c r="E545" s="329">
        <v>0</v>
      </c>
      <c r="F545" s="329">
        <v>0</v>
      </c>
      <c r="G545" s="329">
        <v>0</v>
      </c>
      <c r="H545" s="329">
        <v>0</v>
      </c>
      <c r="I545" s="329">
        <v>0</v>
      </c>
      <c r="J545" s="330">
        <v>0</v>
      </c>
      <c r="K545" s="330">
        <v>0</v>
      </c>
      <c r="L545" s="329">
        <v>0</v>
      </c>
      <c r="M545" s="329">
        <v>0</v>
      </c>
      <c r="N545" s="329">
        <v>0</v>
      </c>
      <c r="O545" s="330">
        <v>0</v>
      </c>
      <c r="P545" s="330">
        <v>0</v>
      </c>
      <c r="Q545" s="329">
        <v>0</v>
      </c>
      <c r="R545" s="330">
        <v>0</v>
      </c>
      <c r="S545" s="330">
        <v>0</v>
      </c>
      <c r="T545" s="330">
        <v>0</v>
      </c>
      <c r="U545" s="330">
        <v>0</v>
      </c>
      <c r="V545" s="315"/>
    </row>
    <row r="546" spans="1:22">
      <c r="A546" s="306" t="s">
        <v>477</v>
      </c>
      <c r="B546" s="55" t="s">
        <v>539</v>
      </c>
      <c r="C546" s="307">
        <v>0.85922541554081722</v>
      </c>
      <c r="D546" s="308">
        <v>0</v>
      </c>
      <c r="E546" s="308">
        <v>0.70872691271464272</v>
      </c>
      <c r="F546" s="308">
        <v>0</v>
      </c>
      <c r="G546" s="308">
        <v>0.7840729168126217</v>
      </c>
      <c r="H546" s="308">
        <v>0.54963820712782596</v>
      </c>
      <c r="I546" s="308">
        <v>0</v>
      </c>
      <c r="J546" s="309">
        <v>0.77320973591010578</v>
      </c>
      <c r="K546" s="309">
        <v>0.56021602368396706</v>
      </c>
      <c r="L546" s="308">
        <v>0</v>
      </c>
      <c r="M546" s="308">
        <v>0.63479458342896489</v>
      </c>
      <c r="N546" s="308">
        <v>0.51645183254678217</v>
      </c>
      <c r="O546" s="309">
        <v>0.54802868562593554</v>
      </c>
      <c r="P546" s="309">
        <v>0</v>
      </c>
      <c r="Q546" s="308">
        <v>0</v>
      </c>
      <c r="R546" s="309">
        <v>0</v>
      </c>
      <c r="S546" s="309">
        <v>0</v>
      </c>
      <c r="T546" s="309">
        <v>0</v>
      </c>
      <c r="U546" s="309">
        <v>0.72446338177782788</v>
      </c>
      <c r="V546" s="315"/>
    </row>
    <row r="547" spans="1:22">
      <c r="A547" s="310"/>
      <c r="B547" s="311" t="s">
        <v>540</v>
      </c>
      <c r="C547" s="312">
        <v>0.5496743827134718</v>
      </c>
      <c r="D547" s="313">
        <v>0</v>
      </c>
      <c r="E547" s="313">
        <v>0.45206670952615058</v>
      </c>
      <c r="F547" s="313">
        <v>0</v>
      </c>
      <c r="G547" s="313">
        <v>0.60626087465091461</v>
      </c>
      <c r="H547" s="313">
        <v>0.48074854558702768</v>
      </c>
      <c r="I547" s="313">
        <v>0</v>
      </c>
      <c r="J547" s="314">
        <v>0.53434721280558606</v>
      </c>
      <c r="K547" s="314">
        <v>0.55627995941264974</v>
      </c>
      <c r="L547" s="313">
        <v>0</v>
      </c>
      <c r="M547" s="313">
        <v>0.35058601431605441</v>
      </c>
      <c r="N547" s="313">
        <v>0.4250865312264861</v>
      </c>
      <c r="O547" s="314">
        <v>0.44729314199134973</v>
      </c>
      <c r="P547" s="314">
        <v>0</v>
      </c>
      <c r="Q547" s="313">
        <v>0</v>
      </c>
      <c r="R547" s="314">
        <v>0</v>
      </c>
      <c r="S547" s="314">
        <v>0</v>
      </c>
      <c r="T547" s="314">
        <v>0</v>
      </c>
      <c r="U547" s="314">
        <v>0.51628495003189978</v>
      </c>
      <c r="V547" s="315"/>
    </row>
    <row r="548" spans="1:22">
      <c r="A548" s="310"/>
      <c r="B548" s="316" t="s">
        <v>541</v>
      </c>
      <c r="C548" s="317">
        <v>-30.955103282734541</v>
      </c>
      <c r="D548" s="318">
        <v>0</v>
      </c>
      <c r="E548" s="318">
        <v>-25.666020318849213</v>
      </c>
      <c r="F548" s="318">
        <v>0</v>
      </c>
      <c r="G548" s="318">
        <v>-17.78120421617071</v>
      </c>
      <c r="H548" s="318">
        <v>-6.8889661540798288</v>
      </c>
      <c r="I548" s="318">
        <v>0</v>
      </c>
      <c r="J548" s="320">
        <v>-23.886252310451972</v>
      </c>
      <c r="K548" s="320">
        <v>-0.39360642713173188</v>
      </c>
      <c r="L548" s="318">
        <v>0</v>
      </c>
      <c r="M548" s="318">
        <v>-28.420856911291047</v>
      </c>
      <c r="N548" s="318">
        <v>-9.1365301320296073</v>
      </c>
      <c r="O548" s="320">
        <v>-10.07355436345858</v>
      </c>
      <c r="P548" s="320">
        <v>0</v>
      </c>
      <c r="Q548" s="318">
        <v>0</v>
      </c>
      <c r="R548" s="320">
        <v>0</v>
      </c>
      <c r="S548" s="320">
        <v>0</v>
      </c>
      <c r="T548" s="320">
        <v>0</v>
      </c>
      <c r="U548" s="320">
        <v>-20.817843174592809</v>
      </c>
      <c r="V548" s="315"/>
    </row>
    <row r="549" spans="1:22">
      <c r="A549" s="310"/>
      <c r="B549" s="55" t="s">
        <v>542</v>
      </c>
      <c r="C549" s="307">
        <v>8.8528617047408491E-3</v>
      </c>
      <c r="D549" s="308">
        <v>0</v>
      </c>
      <c r="E549" s="308">
        <v>9.7449443308339018E-2</v>
      </c>
      <c r="F549" s="308">
        <v>0</v>
      </c>
      <c r="G549" s="308">
        <v>2.3963485546946155E-2</v>
      </c>
      <c r="H549" s="308">
        <v>0.15844614744044203</v>
      </c>
      <c r="I549" s="308">
        <v>0</v>
      </c>
      <c r="J549" s="309">
        <v>4.8794675181851509E-2</v>
      </c>
      <c r="K549" s="309">
        <v>7.198862059394949E-2</v>
      </c>
      <c r="L549" s="308">
        <v>0</v>
      </c>
      <c r="M549" s="308">
        <v>0.13581210312906433</v>
      </c>
      <c r="N549" s="308">
        <v>0.13435232795661056</v>
      </c>
      <c r="O549" s="309">
        <v>0.11983047409137512</v>
      </c>
      <c r="P549" s="309">
        <v>0</v>
      </c>
      <c r="Q549" s="308">
        <v>0</v>
      </c>
      <c r="R549" s="309">
        <v>0</v>
      </c>
      <c r="S549" s="309">
        <v>0</v>
      </c>
      <c r="T549" s="309">
        <v>0</v>
      </c>
      <c r="U549" s="309">
        <v>6.4172240058394503E-2</v>
      </c>
      <c r="V549" s="315"/>
    </row>
    <row r="550" spans="1:22">
      <c r="A550" s="310"/>
      <c r="B550" s="311" t="s">
        <v>543</v>
      </c>
      <c r="C550" s="312">
        <v>1.580901573218375E-2</v>
      </c>
      <c r="D550" s="313">
        <v>0</v>
      </c>
      <c r="E550" s="313">
        <v>6.5780903998957932E-2</v>
      </c>
      <c r="F550" s="313">
        <v>0</v>
      </c>
      <c r="G550" s="313">
        <v>2.2092904244586434E-2</v>
      </c>
      <c r="H550" s="313">
        <v>0.13669747053584852</v>
      </c>
      <c r="I550" s="313">
        <v>0</v>
      </c>
      <c r="J550" s="314">
        <v>4.2707627085622549E-2</v>
      </c>
      <c r="K550" s="314">
        <v>6.5592890215882715E-2</v>
      </c>
      <c r="L550" s="313">
        <v>0</v>
      </c>
      <c r="M550" s="313">
        <v>9.7577283096043424E-2</v>
      </c>
      <c r="N550" s="313">
        <v>6.1494858289440679E-2</v>
      </c>
      <c r="O550" s="314">
        <v>6.8002607585215355E-2</v>
      </c>
      <c r="P550" s="314">
        <v>0</v>
      </c>
      <c r="Q550" s="313">
        <v>0</v>
      </c>
      <c r="R550" s="314">
        <v>0</v>
      </c>
      <c r="S550" s="314">
        <v>0</v>
      </c>
      <c r="T550" s="314">
        <v>0</v>
      </c>
      <c r="U550" s="314">
        <v>4.7955912207335652E-2</v>
      </c>
      <c r="V550" s="315"/>
    </row>
    <row r="551" spans="1:22">
      <c r="A551" s="310"/>
      <c r="B551" s="316" t="s">
        <v>544</v>
      </c>
      <c r="C551" s="317">
        <v>0.69561540274429012</v>
      </c>
      <c r="D551" s="318">
        <v>0</v>
      </c>
      <c r="E551" s="318">
        <v>-3.1668539309381085</v>
      </c>
      <c r="F551" s="318">
        <v>0</v>
      </c>
      <c r="G551" s="318">
        <v>-0.18705813023597201</v>
      </c>
      <c r="H551" s="318">
        <v>-2.1748676904593505</v>
      </c>
      <c r="I551" s="318">
        <v>0</v>
      </c>
      <c r="J551" s="320">
        <v>-0.60870480962289597</v>
      </c>
      <c r="K551" s="320">
        <v>-0.63957303780667751</v>
      </c>
      <c r="L551" s="318">
        <v>0</v>
      </c>
      <c r="M551" s="318">
        <v>-3.8234820033020909</v>
      </c>
      <c r="N551" s="318">
        <v>-7.2857469667169887</v>
      </c>
      <c r="O551" s="320">
        <v>-5.1827866506159763</v>
      </c>
      <c r="P551" s="320">
        <v>0</v>
      </c>
      <c r="Q551" s="318">
        <v>0</v>
      </c>
      <c r="R551" s="320">
        <v>0</v>
      </c>
      <c r="S551" s="320">
        <v>0</v>
      </c>
      <c r="T551" s="320">
        <v>0</v>
      </c>
      <c r="U551" s="320">
        <v>-1.6216327851058852</v>
      </c>
      <c r="V551" s="315"/>
    </row>
    <row r="552" spans="1:22">
      <c r="A552" s="310"/>
      <c r="B552" s="55" t="s">
        <v>545</v>
      </c>
      <c r="C552" s="307">
        <v>0.12823057397854745</v>
      </c>
      <c r="D552" s="308">
        <v>0</v>
      </c>
      <c r="E552" s="308">
        <v>0.17858765864900833</v>
      </c>
      <c r="F552" s="308">
        <v>0</v>
      </c>
      <c r="G552" s="308">
        <v>0.18719261864394907</v>
      </c>
      <c r="H552" s="308">
        <v>0.29121231558691468</v>
      </c>
      <c r="I552" s="308">
        <v>0</v>
      </c>
      <c r="J552" s="309">
        <v>0.1723181257706535</v>
      </c>
      <c r="K552" s="309">
        <v>0.36761032472939215</v>
      </c>
      <c r="L552" s="308">
        <v>0</v>
      </c>
      <c r="M552" s="308">
        <v>0.22939331344197078</v>
      </c>
      <c r="N552" s="308">
        <v>0.32906482590218589</v>
      </c>
      <c r="O552" s="309">
        <v>0.32034475385298616</v>
      </c>
      <c r="P552" s="309">
        <v>0</v>
      </c>
      <c r="Q552" s="308">
        <v>0</v>
      </c>
      <c r="R552" s="309">
        <v>0</v>
      </c>
      <c r="S552" s="309">
        <v>0</v>
      </c>
      <c r="T552" s="309">
        <v>0</v>
      </c>
      <c r="U552" s="309">
        <v>0.20436237827059683</v>
      </c>
      <c r="V552" s="315"/>
    </row>
    <row r="553" spans="1:22">
      <c r="A553" s="310"/>
      <c r="B553" s="311" t="s">
        <v>546</v>
      </c>
      <c r="C553" s="312">
        <v>0.43312861507009248</v>
      </c>
      <c r="D553" s="313">
        <v>0</v>
      </c>
      <c r="E553" s="313">
        <v>0.46848357263211854</v>
      </c>
      <c r="F553" s="313">
        <v>0</v>
      </c>
      <c r="G553" s="313">
        <v>0.36947129092158554</v>
      </c>
      <c r="H553" s="313">
        <v>0.3825539838771238</v>
      </c>
      <c r="I553" s="313">
        <v>0</v>
      </c>
      <c r="J553" s="314">
        <v>0.41929877882464794</v>
      </c>
      <c r="K553" s="314">
        <v>0.37809216127640216</v>
      </c>
      <c r="L553" s="313">
        <v>0</v>
      </c>
      <c r="M553" s="313">
        <v>0.55183670258790218</v>
      </c>
      <c r="N553" s="313">
        <v>0.49205919237521945</v>
      </c>
      <c r="O553" s="314">
        <v>0.47202055110539587</v>
      </c>
      <c r="P553" s="314">
        <v>0</v>
      </c>
      <c r="Q553" s="313">
        <v>0</v>
      </c>
      <c r="R553" s="314">
        <v>0</v>
      </c>
      <c r="S553" s="314">
        <v>0</v>
      </c>
      <c r="T553" s="314">
        <v>0</v>
      </c>
      <c r="U553" s="314">
        <v>0.43023766423141274</v>
      </c>
      <c r="V553" s="315"/>
    </row>
    <row r="554" spans="1:22">
      <c r="A554" s="310"/>
      <c r="B554" s="316" t="s">
        <v>547</v>
      </c>
      <c r="C554" s="317">
        <v>30.489804109154505</v>
      </c>
      <c r="D554" s="318">
        <v>0</v>
      </c>
      <c r="E554" s="318">
        <v>28.98959139831102</v>
      </c>
      <c r="F554" s="318">
        <v>0</v>
      </c>
      <c r="G554" s="318">
        <v>18.227867227763646</v>
      </c>
      <c r="H554" s="318">
        <v>9.1341668290209128</v>
      </c>
      <c r="I554" s="318">
        <v>0</v>
      </c>
      <c r="J554" s="320">
        <v>24.698065305399446</v>
      </c>
      <c r="K554" s="320">
        <v>1.0481836547010015</v>
      </c>
      <c r="L554" s="318">
        <v>0</v>
      </c>
      <c r="M554" s="318">
        <v>32.244338914593143</v>
      </c>
      <c r="N554" s="318">
        <v>16.299436647303356</v>
      </c>
      <c r="O554" s="320">
        <v>15.167579725240971</v>
      </c>
      <c r="P554" s="320">
        <v>0</v>
      </c>
      <c r="Q554" s="318">
        <v>0</v>
      </c>
      <c r="R554" s="320">
        <v>0</v>
      </c>
      <c r="S554" s="320">
        <v>0</v>
      </c>
      <c r="T554" s="320">
        <v>0</v>
      </c>
      <c r="U554" s="320">
        <v>22.58752859608159</v>
      </c>
      <c r="V554" s="315"/>
    </row>
    <row r="555" spans="1:22">
      <c r="A555" s="310"/>
      <c r="B555" s="55" t="s">
        <v>548</v>
      </c>
      <c r="C555" s="307">
        <v>0</v>
      </c>
      <c r="D555" s="308">
        <v>0</v>
      </c>
      <c r="E555" s="308">
        <v>1.5235985328009868E-2</v>
      </c>
      <c r="F555" s="308">
        <v>0</v>
      </c>
      <c r="G555" s="308">
        <v>4.7499614678641984E-3</v>
      </c>
      <c r="H555" s="308">
        <v>6.9207656730022624E-4</v>
      </c>
      <c r="I555" s="308">
        <v>0</v>
      </c>
      <c r="J555" s="309">
        <v>3.9642265289614245E-3</v>
      </c>
      <c r="K555" s="309">
        <v>0</v>
      </c>
      <c r="L555" s="308">
        <v>0</v>
      </c>
      <c r="M555" s="308">
        <v>0</v>
      </c>
      <c r="N555" s="308">
        <v>2.0131013594421356E-2</v>
      </c>
      <c r="O555" s="309">
        <v>1.1752224616346202E-2</v>
      </c>
      <c r="P555" s="309">
        <v>0</v>
      </c>
      <c r="Q555" s="308">
        <v>0</v>
      </c>
      <c r="R555" s="309">
        <v>0</v>
      </c>
      <c r="S555" s="309">
        <v>0</v>
      </c>
      <c r="T555" s="309">
        <v>0</v>
      </c>
      <c r="U555" s="309">
        <v>5.6501433157872876E-3</v>
      </c>
      <c r="V555" s="315"/>
    </row>
    <row r="556" spans="1:22">
      <c r="A556" s="310"/>
      <c r="B556" s="311" t="s">
        <v>549</v>
      </c>
      <c r="C556" s="312">
        <v>0</v>
      </c>
      <c r="D556" s="313">
        <v>0</v>
      </c>
      <c r="E556" s="313">
        <v>1.3668813842772925E-2</v>
      </c>
      <c r="F556" s="313">
        <v>0</v>
      </c>
      <c r="G556" s="313">
        <v>2.1749301829134559E-3</v>
      </c>
      <c r="H556" s="313">
        <v>0</v>
      </c>
      <c r="I556" s="313">
        <v>0</v>
      </c>
      <c r="J556" s="314">
        <v>2.9987764867244913E-3</v>
      </c>
      <c r="K556" s="314">
        <v>0</v>
      </c>
      <c r="L556" s="313">
        <v>0</v>
      </c>
      <c r="M556" s="313">
        <v>0</v>
      </c>
      <c r="N556" s="313">
        <v>1.4301479809380487E-2</v>
      </c>
      <c r="O556" s="314">
        <v>8.486558731689603E-3</v>
      </c>
      <c r="P556" s="314">
        <v>0</v>
      </c>
      <c r="Q556" s="313">
        <v>0</v>
      </c>
      <c r="R556" s="314">
        <v>0</v>
      </c>
      <c r="S556" s="314">
        <v>0</v>
      </c>
      <c r="T556" s="314">
        <v>0</v>
      </c>
      <c r="U556" s="314">
        <v>4.1373994600814139E-3</v>
      </c>
      <c r="V556" s="315"/>
    </row>
    <row r="557" spans="1:22">
      <c r="A557" s="310"/>
      <c r="B557" s="316" t="s">
        <v>550</v>
      </c>
      <c r="C557" s="317">
        <v>0</v>
      </c>
      <c r="D557" s="318">
        <v>0</v>
      </c>
      <c r="E557" s="318">
        <v>-0.15671714852369434</v>
      </c>
      <c r="F557" s="318">
        <v>0</v>
      </c>
      <c r="G557" s="318">
        <v>-0.25750312849507423</v>
      </c>
      <c r="H557" s="318">
        <v>-6.9207656730022618E-2</v>
      </c>
      <c r="I557" s="318">
        <v>0</v>
      </c>
      <c r="J557" s="320">
        <v>-9.6545004223693318E-2</v>
      </c>
      <c r="K557" s="320">
        <v>0</v>
      </c>
      <c r="L557" s="318">
        <v>0</v>
      </c>
      <c r="M557" s="318">
        <v>0</v>
      </c>
      <c r="N557" s="318">
        <v>-0.58295337850408691</v>
      </c>
      <c r="O557" s="320">
        <v>-0.32656658846565989</v>
      </c>
      <c r="P557" s="320">
        <v>0</v>
      </c>
      <c r="Q557" s="318">
        <v>0</v>
      </c>
      <c r="R557" s="320">
        <v>0</v>
      </c>
      <c r="S557" s="320">
        <v>0</v>
      </c>
      <c r="T557" s="320">
        <v>0</v>
      </c>
      <c r="U557" s="320">
        <v>-0.15127438557058737</v>
      </c>
      <c r="V557" s="315"/>
    </row>
    <row r="558" spans="1:22">
      <c r="A558" s="310"/>
      <c r="B558" s="55" t="s">
        <v>551</v>
      </c>
      <c r="C558" s="307">
        <v>3.6911487758945387E-3</v>
      </c>
      <c r="D558" s="308">
        <v>0</v>
      </c>
      <c r="E558" s="308">
        <v>0</v>
      </c>
      <c r="F558" s="308">
        <v>0</v>
      </c>
      <c r="G558" s="308">
        <v>2.1017528618868136E-5</v>
      </c>
      <c r="H558" s="308">
        <v>1.1253277517076848E-5</v>
      </c>
      <c r="I558" s="308">
        <v>0</v>
      </c>
      <c r="J558" s="309">
        <v>1.7132366084277304E-3</v>
      </c>
      <c r="K558" s="309">
        <v>1.8503099269127579E-4</v>
      </c>
      <c r="L558" s="308">
        <v>0</v>
      </c>
      <c r="M558" s="308">
        <v>0</v>
      </c>
      <c r="N558" s="308">
        <v>0</v>
      </c>
      <c r="O558" s="309">
        <v>4.3861813357018712E-5</v>
      </c>
      <c r="P558" s="309">
        <v>0</v>
      </c>
      <c r="Q558" s="308">
        <v>0</v>
      </c>
      <c r="R558" s="309">
        <v>0</v>
      </c>
      <c r="S558" s="309">
        <v>0</v>
      </c>
      <c r="T558" s="309">
        <v>0</v>
      </c>
      <c r="U558" s="309">
        <v>1.3518565773934924E-3</v>
      </c>
      <c r="V558" s="315"/>
    </row>
    <row r="559" spans="1:22">
      <c r="A559" s="310"/>
      <c r="B559" s="311" t="s">
        <v>552</v>
      </c>
      <c r="C559" s="312">
        <v>1.3879864842519488E-3</v>
      </c>
      <c r="D559" s="313">
        <v>0</v>
      </c>
      <c r="E559" s="313">
        <v>0</v>
      </c>
      <c r="F559" s="313">
        <v>0</v>
      </c>
      <c r="G559" s="313">
        <v>0</v>
      </c>
      <c r="H559" s="313">
        <v>0</v>
      </c>
      <c r="I559" s="313">
        <v>0</v>
      </c>
      <c r="J559" s="314">
        <v>6.4760479741893251E-4</v>
      </c>
      <c r="K559" s="314">
        <v>3.4989095065371292E-5</v>
      </c>
      <c r="L559" s="313">
        <v>0</v>
      </c>
      <c r="M559" s="313">
        <v>0</v>
      </c>
      <c r="N559" s="313">
        <v>7.0579382994732879E-3</v>
      </c>
      <c r="O559" s="314">
        <v>4.1971405863494701E-3</v>
      </c>
      <c r="P559" s="314">
        <v>0</v>
      </c>
      <c r="Q559" s="313">
        <v>0</v>
      </c>
      <c r="R559" s="314">
        <v>0</v>
      </c>
      <c r="S559" s="314">
        <v>0</v>
      </c>
      <c r="T559" s="314">
        <v>0</v>
      </c>
      <c r="U559" s="314">
        <v>1.3840740692704059E-3</v>
      </c>
      <c r="V559" s="315"/>
    </row>
    <row r="560" spans="1:22">
      <c r="A560" s="310"/>
      <c r="B560" s="316" t="s">
        <v>553</v>
      </c>
      <c r="C560" s="317">
        <v>-0.23031622916425901</v>
      </c>
      <c r="D560" s="318">
        <v>0</v>
      </c>
      <c r="E560" s="318">
        <v>0</v>
      </c>
      <c r="F560" s="318">
        <v>0</v>
      </c>
      <c r="G560" s="318">
        <v>-2.1017528618868138E-3</v>
      </c>
      <c r="H560" s="318">
        <v>-1.1253277517076848E-3</v>
      </c>
      <c r="I560" s="318">
        <v>0</v>
      </c>
      <c r="J560" s="320">
        <v>-0.1065631811008798</v>
      </c>
      <c r="K560" s="320">
        <v>-1.500418976259045E-2</v>
      </c>
      <c r="L560" s="318">
        <v>0</v>
      </c>
      <c r="M560" s="318">
        <v>0</v>
      </c>
      <c r="N560" s="318">
        <v>0</v>
      </c>
      <c r="O560" s="320">
        <v>0.41532787729924514</v>
      </c>
      <c r="P560" s="320">
        <v>0</v>
      </c>
      <c r="Q560" s="318">
        <v>0</v>
      </c>
      <c r="R560" s="320">
        <v>0</v>
      </c>
      <c r="S560" s="320">
        <v>0</v>
      </c>
      <c r="T560" s="320">
        <v>0</v>
      </c>
      <c r="U560" s="320">
        <v>3.2217491876913515E-3</v>
      </c>
      <c r="V560" s="315"/>
    </row>
    <row r="561" spans="1:22">
      <c r="A561" s="310"/>
      <c r="B561" s="55" t="s">
        <v>554</v>
      </c>
      <c r="C561" s="307">
        <v>0</v>
      </c>
      <c r="D561" s="308">
        <v>0</v>
      </c>
      <c r="E561" s="308">
        <v>0</v>
      </c>
      <c r="F561" s="308">
        <v>0</v>
      </c>
      <c r="G561" s="308">
        <v>0</v>
      </c>
      <c r="H561" s="308">
        <v>0</v>
      </c>
      <c r="I561" s="308">
        <v>0</v>
      </c>
      <c r="J561" s="309">
        <v>0</v>
      </c>
      <c r="K561" s="309">
        <v>0</v>
      </c>
      <c r="L561" s="308">
        <v>0</v>
      </c>
      <c r="M561" s="308">
        <v>0</v>
      </c>
      <c r="N561" s="308">
        <v>0</v>
      </c>
      <c r="O561" s="309">
        <v>0</v>
      </c>
      <c r="P561" s="309">
        <v>0</v>
      </c>
      <c r="Q561" s="308">
        <v>0</v>
      </c>
      <c r="R561" s="309">
        <v>0</v>
      </c>
      <c r="S561" s="309">
        <v>0</v>
      </c>
      <c r="T561" s="309">
        <v>0</v>
      </c>
      <c r="U561" s="309">
        <v>0</v>
      </c>
      <c r="V561" s="315"/>
    </row>
    <row r="562" spans="1:22">
      <c r="A562" s="310"/>
      <c r="B562" s="311" t="s">
        <v>555</v>
      </c>
      <c r="C562" s="312">
        <v>0</v>
      </c>
      <c r="D562" s="313">
        <v>0</v>
      </c>
      <c r="E562" s="313">
        <v>0</v>
      </c>
      <c r="F562" s="313">
        <v>0</v>
      </c>
      <c r="G562" s="313">
        <v>0</v>
      </c>
      <c r="H562" s="313">
        <v>0</v>
      </c>
      <c r="I562" s="313">
        <v>0</v>
      </c>
      <c r="J562" s="314">
        <v>0</v>
      </c>
      <c r="K562" s="314">
        <v>0</v>
      </c>
      <c r="L562" s="313">
        <v>0</v>
      </c>
      <c r="M562" s="313">
        <v>0</v>
      </c>
      <c r="N562" s="313">
        <v>0</v>
      </c>
      <c r="O562" s="314">
        <v>0</v>
      </c>
      <c r="P562" s="314">
        <v>0</v>
      </c>
      <c r="Q562" s="313">
        <v>0</v>
      </c>
      <c r="R562" s="314">
        <v>0</v>
      </c>
      <c r="S562" s="314">
        <v>0</v>
      </c>
      <c r="T562" s="314">
        <v>0</v>
      </c>
      <c r="U562" s="314">
        <v>0</v>
      </c>
      <c r="V562" s="315"/>
    </row>
    <row r="563" spans="1:22" ht="15" thickBot="1">
      <c r="A563" s="310"/>
      <c r="B563" s="322" t="s">
        <v>556</v>
      </c>
      <c r="C563" s="323">
        <v>0</v>
      </c>
      <c r="D563" s="324">
        <v>0</v>
      </c>
      <c r="E563" s="324">
        <v>0</v>
      </c>
      <c r="F563" s="324">
        <v>0</v>
      </c>
      <c r="G563" s="324">
        <v>0</v>
      </c>
      <c r="H563" s="324">
        <v>0</v>
      </c>
      <c r="I563" s="324">
        <v>0</v>
      </c>
      <c r="J563" s="325">
        <v>0</v>
      </c>
      <c r="K563" s="325">
        <v>0</v>
      </c>
      <c r="L563" s="324">
        <v>0</v>
      </c>
      <c r="M563" s="324">
        <v>0</v>
      </c>
      <c r="N563" s="324">
        <v>0</v>
      </c>
      <c r="O563" s="325">
        <v>0</v>
      </c>
      <c r="P563" s="325">
        <v>0</v>
      </c>
      <c r="Q563" s="324">
        <v>0</v>
      </c>
      <c r="R563" s="325">
        <v>0</v>
      </c>
      <c r="S563" s="325">
        <v>0</v>
      </c>
      <c r="T563" s="325">
        <v>0</v>
      </c>
      <c r="U563" s="325">
        <v>0</v>
      </c>
      <c r="V563" s="315"/>
    </row>
    <row r="564" spans="1:22" ht="15" thickTop="1">
      <c r="A564" s="310"/>
      <c r="B564" s="311" t="s">
        <v>557</v>
      </c>
      <c r="C564" s="312">
        <v>0.68003117221485565</v>
      </c>
      <c r="D564" s="313">
        <v>0</v>
      </c>
      <c r="E564" s="313">
        <v>0.49083499899285704</v>
      </c>
      <c r="F564" s="313">
        <v>0</v>
      </c>
      <c r="G564" s="313">
        <v>0.39282775347568105</v>
      </c>
      <c r="H564" s="313">
        <v>0.73956180239768499</v>
      </c>
      <c r="I564" s="313">
        <v>0</v>
      </c>
      <c r="J564" s="314">
        <v>0.57380653444759433</v>
      </c>
      <c r="K564" s="314">
        <v>0</v>
      </c>
      <c r="L564" s="313">
        <v>0</v>
      </c>
      <c r="M564" s="313">
        <v>0</v>
      </c>
      <c r="N564" s="313">
        <v>0</v>
      </c>
      <c r="O564" s="314">
        <v>0</v>
      </c>
      <c r="P564" s="314">
        <v>0</v>
      </c>
      <c r="Q564" s="313">
        <v>0</v>
      </c>
      <c r="R564" s="314">
        <v>0</v>
      </c>
      <c r="S564" s="314">
        <v>0</v>
      </c>
      <c r="T564" s="314">
        <v>0</v>
      </c>
      <c r="U564" s="314">
        <v>0.57380653444759433</v>
      </c>
      <c r="V564" s="315"/>
    </row>
    <row r="565" spans="1:22">
      <c r="A565" s="310"/>
      <c r="B565" s="311" t="s">
        <v>558</v>
      </c>
      <c r="C565" s="312">
        <v>0.57700773181330778</v>
      </c>
      <c r="D565" s="313">
        <v>0</v>
      </c>
      <c r="E565" s="313">
        <v>0.29455602279553833</v>
      </c>
      <c r="F565" s="313">
        <v>0</v>
      </c>
      <c r="G565" s="313">
        <v>0.28369475706835023</v>
      </c>
      <c r="H565" s="313">
        <v>0.72078198045048869</v>
      </c>
      <c r="I565" s="313">
        <v>0</v>
      </c>
      <c r="J565" s="314">
        <v>0.43606721597507747</v>
      </c>
      <c r="K565" s="314">
        <v>0</v>
      </c>
      <c r="L565" s="313">
        <v>0</v>
      </c>
      <c r="M565" s="313">
        <v>0</v>
      </c>
      <c r="N565" s="313">
        <v>0</v>
      </c>
      <c r="O565" s="314">
        <v>0</v>
      </c>
      <c r="P565" s="314">
        <v>0</v>
      </c>
      <c r="Q565" s="313">
        <v>0</v>
      </c>
      <c r="R565" s="314">
        <v>0</v>
      </c>
      <c r="S565" s="314">
        <v>0</v>
      </c>
      <c r="T565" s="314">
        <v>0</v>
      </c>
      <c r="U565" s="314">
        <v>0.43606721597507747</v>
      </c>
      <c r="V565" s="315"/>
    </row>
    <row r="566" spans="1:22">
      <c r="A566" s="310"/>
      <c r="B566" s="316" t="s">
        <v>559</v>
      </c>
      <c r="C566" s="317">
        <v>-10.302344040154788</v>
      </c>
      <c r="D566" s="318">
        <v>0</v>
      </c>
      <c r="E566" s="318">
        <v>-19.627897619731872</v>
      </c>
      <c r="F566" s="318">
        <v>0</v>
      </c>
      <c r="G566" s="318">
        <v>-10.913299640733081</v>
      </c>
      <c r="H566" s="318">
        <v>-1.8779821947196296</v>
      </c>
      <c r="I566" s="318">
        <v>0</v>
      </c>
      <c r="J566" s="320">
        <v>-13.773931847251685</v>
      </c>
      <c r="K566" s="320">
        <v>0</v>
      </c>
      <c r="L566" s="318">
        <v>0</v>
      </c>
      <c r="M566" s="318">
        <v>0</v>
      </c>
      <c r="N566" s="318">
        <v>0</v>
      </c>
      <c r="O566" s="320">
        <v>0</v>
      </c>
      <c r="P566" s="320">
        <v>0</v>
      </c>
      <c r="Q566" s="318">
        <v>0</v>
      </c>
      <c r="R566" s="320">
        <v>0</v>
      </c>
      <c r="S566" s="320">
        <v>0</v>
      </c>
      <c r="T566" s="320">
        <v>0</v>
      </c>
      <c r="U566" s="320">
        <v>-13.773931847251685</v>
      </c>
      <c r="V566" s="315"/>
    </row>
    <row r="567" spans="1:22">
      <c r="A567" s="310"/>
      <c r="B567" s="55" t="s">
        <v>560</v>
      </c>
      <c r="C567" s="307">
        <v>2.3576895340451764E-2</v>
      </c>
      <c r="D567" s="308">
        <v>0</v>
      </c>
      <c r="E567" s="308">
        <v>0.1805265033545608</v>
      </c>
      <c r="F567" s="308">
        <v>0</v>
      </c>
      <c r="G567" s="308">
        <v>3.430204859456884E-2</v>
      </c>
      <c r="H567" s="308">
        <v>1.2401818933443572E-3</v>
      </c>
      <c r="I567" s="308">
        <v>0</v>
      </c>
      <c r="J567" s="309">
        <v>8.222314382942944E-2</v>
      </c>
      <c r="K567" s="309">
        <v>0</v>
      </c>
      <c r="L567" s="308">
        <v>0</v>
      </c>
      <c r="M567" s="308">
        <v>0</v>
      </c>
      <c r="N567" s="308">
        <v>0</v>
      </c>
      <c r="O567" s="309">
        <v>0</v>
      </c>
      <c r="P567" s="309">
        <v>0</v>
      </c>
      <c r="Q567" s="308">
        <v>0</v>
      </c>
      <c r="R567" s="309">
        <v>0</v>
      </c>
      <c r="S567" s="309">
        <v>0</v>
      </c>
      <c r="T567" s="309">
        <v>0</v>
      </c>
      <c r="U567" s="309">
        <v>8.222314382942944E-2</v>
      </c>
      <c r="V567" s="315"/>
    </row>
    <row r="568" spans="1:22">
      <c r="A568" s="310"/>
      <c r="B568" s="311" t="s">
        <v>561</v>
      </c>
      <c r="C568" s="312">
        <v>1.3691517579998872E-2</v>
      </c>
      <c r="D568" s="313">
        <v>0</v>
      </c>
      <c r="E568" s="313">
        <v>9.3000600737120687E-2</v>
      </c>
      <c r="F568" s="313">
        <v>0</v>
      </c>
      <c r="G568" s="313">
        <v>3.5616250343123802E-2</v>
      </c>
      <c r="H568" s="313">
        <v>0</v>
      </c>
      <c r="I568" s="313">
        <v>0</v>
      </c>
      <c r="J568" s="314">
        <v>4.3917152402811493E-2</v>
      </c>
      <c r="K568" s="314">
        <v>0</v>
      </c>
      <c r="L568" s="313">
        <v>0</v>
      </c>
      <c r="M568" s="313">
        <v>0</v>
      </c>
      <c r="N568" s="313">
        <v>0</v>
      </c>
      <c r="O568" s="314">
        <v>0</v>
      </c>
      <c r="P568" s="314">
        <v>0</v>
      </c>
      <c r="Q568" s="313">
        <v>0</v>
      </c>
      <c r="R568" s="314">
        <v>0</v>
      </c>
      <c r="S568" s="314">
        <v>0</v>
      </c>
      <c r="T568" s="314">
        <v>0</v>
      </c>
      <c r="U568" s="314">
        <v>4.3917152402811493E-2</v>
      </c>
      <c r="V568" s="315"/>
    </row>
    <row r="569" spans="1:22">
      <c r="A569" s="310"/>
      <c r="B569" s="316" t="s">
        <v>562</v>
      </c>
      <c r="C569" s="317">
        <v>-0.98853777604528925</v>
      </c>
      <c r="D569" s="318">
        <v>0</v>
      </c>
      <c r="E569" s="318">
        <v>-8.752590261744011</v>
      </c>
      <c r="F569" s="318">
        <v>0</v>
      </c>
      <c r="G569" s="318">
        <v>0.1314201748554962</v>
      </c>
      <c r="H569" s="318">
        <v>-0.12401818933443572</v>
      </c>
      <c r="I569" s="318">
        <v>0</v>
      </c>
      <c r="J569" s="320">
        <v>-3.8305991426617947</v>
      </c>
      <c r="K569" s="320">
        <v>0</v>
      </c>
      <c r="L569" s="318">
        <v>0</v>
      </c>
      <c r="M569" s="318">
        <v>0</v>
      </c>
      <c r="N569" s="318">
        <v>0</v>
      </c>
      <c r="O569" s="320">
        <v>0</v>
      </c>
      <c r="P569" s="320">
        <v>0</v>
      </c>
      <c r="Q569" s="318">
        <v>0</v>
      </c>
      <c r="R569" s="320">
        <v>0</v>
      </c>
      <c r="S569" s="320">
        <v>0</v>
      </c>
      <c r="T569" s="320">
        <v>0</v>
      </c>
      <c r="U569" s="320">
        <v>-3.8305991426617947</v>
      </c>
      <c r="V569" s="315"/>
    </row>
    <row r="570" spans="1:22">
      <c r="A570" s="310"/>
      <c r="B570" s="55" t="s">
        <v>563</v>
      </c>
      <c r="C570" s="307">
        <v>0.2904250122129946</v>
      </c>
      <c r="D570" s="308">
        <v>0</v>
      </c>
      <c r="E570" s="308">
        <v>0.31467794666790622</v>
      </c>
      <c r="F570" s="308">
        <v>0</v>
      </c>
      <c r="G570" s="308">
        <v>0.57287019792975014</v>
      </c>
      <c r="H570" s="308">
        <v>0.25919801570897066</v>
      </c>
      <c r="I570" s="308">
        <v>0</v>
      </c>
      <c r="J570" s="309">
        <v>0.33593718931263883</v>
      </c>
      <c r="K570" s="309">
        <v>0</v>
      </c>
      <c r="L570" s="308">
        <v>0</v>
      </c>
      <c r="M570" s="308">
        <v>0</v>
      </c>
      <c r="N570" s="308">
        <v>0</v>
      </c>
      <c r="O570" s="309">
        <v>0</v>
      </c>
      <c r="P570" s="309">
        <v>0</v>
      </c>
      <c r="Q570" s="308">
        <v>0</v>
      </c>
      <c r="R570" s="309">
        <v>0</v>
      </c>
      <c r="S570" s="309">
        <v>0</v>
      </c>
      <c r="T570" s="309">
        <v>0</v>
      </c>
      <c r="U570" s="309">
        <v>0.33593718931263883</v>
      </c>
      <c r="V570" s="315"/>
    </row>
    <row r="571" spans="1:22">
      <c r="A571" s="310"/>
      <c r="B571" s="311" t="s">
        <v>564</v>
      </c>
      <c r="C571" s="312">
        <v>0.40027089564873863</v>
      </c>
      <c r="D571" s="313">
        <v>0</v>
      </c>
      <c r="E571" s="313">
        <v>0.59977918851780287</v>
      </c>
      <c r="F571" s="313">
        <v>0</v>
      </c>
      <c r="G571" s="313">
        <v>0.68068899258852589</v>
      </c>
      <c r="H571" s="313">
        <v>0.27921801954951125</v>
      </c>
      <c r="I571" s="313">
        <v>0</v>
      </c>
      <c r="J571" s="314">
        <v>0.5113191657997721</v>
      </c>
      <c r="K571" s="314">
        <v>0</v>
      </c>
      <c r="L571" s="313">
        <v>0</v>
      </c>
      <c r="M571" s="313">
        <v>0</v>
      </c>
      <c r="N571" s="313">
        <v>0</v>
      </c>
      <c r="O571" s="314">
        <v>0</v>
      </c>
      <c r="P571" s="314">
        <v>0</v>
      </c>
      <c r="Q571" s="313">
        <v>0</v>
      </c>
      <c r="R571" s="314">
        <v>0</v>
      </c>
      <c r="S571" s="314">
        <v>0</v>
      </c>
      <c r="T571" s="314">
        <v>0</v>
      </c>
      <c r="U571" s="314">
        <v>0.5113191657997721</v>
      </c>
      <c r="V571" s="315"/>
    </row>
    <row r="572" spans="1:22">
      <c r="A572" s="310"/>
      <c r="B572" s="316" t="s">
        <v>565</v>
      </c>
      <c r="C572" s="317">
        <v>10.984588343574403</v>
      </c>
      <c r="D572" s="318">
        <v>0</v>
      </c>
      <c r="E572" s="318">
        <v>28.510124184989667</v>
      </c>
      <c r="F572" s="318">
        <v>0</v>
      </c>
      <c r="G572" s="318">
        <v>10.781879465877575</v>
      </c>
      <c r="H572" s="318">
        <v>2.002000384054059</v>
      </c>
      <c r="I572" s="318">
        <v>0</v>
      </c>
      <c r="J572" s="320">
        <v>17.538197648713329</v>
      </c>
      <c r="K572" s="320">
        <v>0</v>
      </c>
      <c r="L572" s="318">
        <v>0</v>
      </c>
      <c r="M572" s="318">
        <v>0</v>
      </c>
      <c r="N572" s="318">
        <v>0</v>
      </c>
      <c r="O572" s="320">
        <v>0</v>
      </c>
      <c r="P572" s="320">
        <v>0</v>
      </c>
      <c r="Q572" s="318">
        <v>0</v>
      </c>
      <c r="R572" s="320">
        <v>0</v>
      </c>
      <c r="S572" s="320">
        <v>0</v>
      </c>
      <c r="T572" s="320">
        <v>0</v>
      </c>
      <c r="U572" s="320">
        <v>17.538197648713329</v>
      </c>
      <c r="V572" s="315"/>
    </row>
    <row r="573" spans="1:22">
      <c r="A573" s="310"/>
      <c r="B573" s="55" t="s">
        <v>566</v>
      </c>
      <c r="C573" s="307">
        <v>5.5830832577290809E-4</v>
      </c>
      <c r="D573" s="308">
        <v>0</v>
      </c>
      <c r="E573" s="308">
        <v>1.3960550984675933E-2</v>
      </c>
      <c r="F573" s="308">
        <v>0</v>
      </c>
      <c r="G573" s="308">
        <v>0</v>
      </c>
      <c r="H573" s="308">
        <v>0</v>
      </c>
      <c r="I573" s="308">
        <v>0</v>
      </c>
      <c r="J573" s="309">
        <v>5.3914021622420054E-3</v>
      </c>
      <c r="K573" s="309">
        <v>0</v>
      </c>
      <c r="L573" s="308">
        <v>0</v>
      </c>
      <c r="M573" s="308">
        <v>0</v>
      </c>
      <c r="N573" s="308">
        <v>0</v>
      </c>
      <c r="O573" s="309">
        <v>0</v>
      </c>
      <c r="P573" s="309">
        <v>0</v>
      </c>
      <c r="Q573" s="308">
        <v>0</v>
      </c>
      <c r="R573" s="309">
        <v>0</v>
      </c>
      <c r="S573" s="309">
        <v>0</v>
      </c>
      <c r="T573" s="309">
        <v>0</v>
      </c>
      <c r="U573" s="309">
        <v>5.3914021622420054E-3</v>
      </c>
      <c r="V573" s="315"/>
    </row>
    <row r="574" spans="1:22">
      <c r="A574" s="310"/>
      <c r="B574" s="311" t="s">
        <v>567</v>
      </c>
      <c r="C574" s="312">
        <v>2.3703369264631188E-4</v>
      </c>
      <c r="D574" s="313">
        <v>0</v>
      </c>
      <c r="E574" s="313">
        <v>1.2664187949538082E-2</v>
      </c>
      <c r="F574" s="313">
        <v>0</v>
      </c>
      <c r="G574" s="313">
        <v>0</v>
      </c>
      <c r="H574" s="313">
        <v>0</v>
      </c>
      <c r="I574" s="313">
        <v>0</v>
      </c>
      <c r="J574" s="314">
        <v>4.4087779263882699E-3</v>
      </c>
      <c r="K574" s="314">
        <v>0</v>
      </c>
      <c r="L574" s="313">
        <v>0</v>
      </c>
      <c r="M574" s="313">
        <v>0</v>
      </c>
      <c r="N574" s="313">
        <v>0</v>
      </c>
      <c r="O574" s="314">
        <v>0</v>
      </c>
      <c r="P574" s="314">
        <v>0</v>
      </c>
      <c r="Q574" s="313">
        <v>0</v>
      </c>
      <c r="R574" s="314">
        <v>0</v>
      </c>
      <c r="S574" s="314">
        <v>0</v>
      </c>
      <c r="T574" s="314">
        <v>0</v>
      </c>
      <c r="U574" s="314">
        <v>4.4087779263882699E-3</v>
      </c>
      <c r="V574" s="315"/>
    </row>
    <row r="575" spans="1:22">
      <c r="A575" s="310"/>
      <c r="B575" s="316" t="s">
        <v>568</v>
      </c>
      <c r="C575" s="317">
        <v>-3.2127463312659622E-2</v>
      </c>
      <c r="D575" s="318">
        <v>0</v>
      </c>
      <c r="E575" s="318">
        <v>-0.12963630351378511</v>
      </c>
      <c r="F575" s="318">
        <v>0</v>
      </c>
      <c r="G575" s="318">
        <v>0</v>
      </c>
      <c r="H575" s="318">
        <v>0</v>
      </c>
      <c r="I575" s="318">
        <v>0</v>
      </c>
      <c r="J575" s="320">
        <v>-9.8262423585373543E-2</v>
      </c>
      <c r="K575" s="320">
        <v>0</v>
      </c>
      <c r="L575" s="318">
        <v>0</v>
      </c>
      <c r="M575" s="318">
        <v>0</v>
      </c>
      <c r="N575" s="318">
        <v>0</v>
      </c>
      <c r="O575" s="320">
        <v>0</v>
      </c>
      <c r="P575" s="320">
        <v>0</v>
      </c>
      <c r="Q575" s="318">
        <v>0</v>
      </c>
      <c r="R575" s="320">
        <v>0</v>
      </c>
      <c r="S575" s="320">
        <v>0</v>
      </c>
      <c r="T575" s="320">
        <v>0</v>
      </c>
      <c r="U575" s="320">
        <v>-9.8262423585373543E-2</v>
      </c>
      <c r="V575" s="315"/>
    </row>
    <row r="576" spans="1:22">
      <c r="A576" s="310"/>
      <c r="B576" s="55" t="s">
        <v>569</v>
      </c>
      <c r="C576" s="307">
        <v>5.4086119059250475E-3</v>
      </c>
      <c r="D576" s="308">
        <v>0</v>
      </c>
      <c r="E576" s="308">
        <v>0</v>
      </c>
      <c r="F576" s="308">
        <v>0</v>
      </c>
      <c r="G576" s="308">
        <v>0</v>
      </c>
      <c r="H576" s="308">
        <v>0</v>
      </c>
      <c r="I576" s="308">
        <v>0</v>
      </c>
      <c r="J576" s="309">
        <v>2.6417302480953976E-3</v>
      </c>
      <c r="K576" s="309">
        <v>0</v>
      </c>
      <c r="L576" s="308">
        <v>0</v>
      </c>
      <c r="M576" s="308">
        <v>0</v>
      </c>
      <c r="N576" s="308">
        <v>0</v>
      </c>
      <c r="O576" s="309">
        <v>0</v>
      </c>
      <c r="P576" s="309">
        <v>0</v>
      </c>
      <c r="Q576" s="308">
        <v>0</v>
      </c>
      <c r="R576" s="309">
        <v>0</v>
      </c>
      <c r="S576" s="309">
        <v>0</v>
      </c>
      <c r="T576" s="309">
        <v>0</v>
      </c>
      <c r="U576" s="309">
        <v>2.6417302480953976E-3</v>
      </c>
      <c r="V576" s="315"/>
    </row>
    <row r="577" spans="1:22">
      <c r="A577" s="310"/>
      <c r="B577" s="311" t="s">
        <v>570</v>
      </c>
      <c r="C577" s="312">
        <v>8.7928212653084255E-3</v>
      </c>
      <c r="D577" s="313">
        <v>0</v>
      </c>
      <c r="E577" s="313">
        <v>0</v>
      </c>
      <c r="F577" s="313">
        <v>0</v>
      </c>
      <c r="G577" s="313">
        <v>0</v>
      </c>
      <c r="H577" s="313">
        <v>0</v>
      </c>
      <c r="I577" s="313">
        <v>0</v>
      </c>
      <c r="J577" s="314">
        <v>4.2876878959506393E-3</v>
      </c>
      <c r="K577" s="314">
        <v>0</v>
      </c>
      <c r="L577" s="313">
        <v>0</v>
      </c>
      <c r="M577" s="313">
        <v>0</v>
      </c>
      <c r="N577" s="313">
        <v>0</v>
      </c>
      <c r="O577" s="314">
        <v>0</v>
      </c>
      <c r="P577" s="314">
        <v>0</v>
      </c>
      <c r="Q577" s="313">
        <v>0</v>
      </c>
      <c r="R577" s="314">
        <v>0</v>
      </c>
      <c r="S577" s="314">
        <v>0</v>
      </c>
      <c r="T577" s="314">
        <v>0</v>
      </c>
      <c r="U577" s="314">
        <v>4.2876878959506393E-3</v>
      </c>
      <c r="V577" s="315"/>
    </row>
    <row r="578" spans="1:22">
      <c r="A578" s="310"/>
      <c r="B578" s="316" t="s">
        <v>571</v>
      </c>
      <c r="C578" s="317">
        <v>0.33842093593833783</v>
      </c>
      <c r="D578" s="318">
        <v>0</v>
      </c>
      <c r="E578" s="318">
        <v>0</v>
      </c>
      <c r="F578" s="318">
        <v>0</v>
      </c>
      <c r="G578" s="318">
        <v>0</v>
      </c>
      <c r="H578" s="318">
        <v>0</v>
      </c>
      <c r="I578" s="318">
        <v>0</v>
      </c>
      <c r="J578" s="320">
        <v>0.16459576478552418</v>
      </c>
      <c r="K578" s="320">
        <v>0</v>
      </c>
      <c r="L578" s="318">
        <v>0</v>
      </c>
      <c r="M578" s="318">
        <v>0</v>
      </c>
      <c r="N578" s="318">
        <v>0</v>
      </c>
      <c r="O578" s="320">
        <v>0</v>
      </c>
      <c r="P578" s="320">
        <v>0</v>
      </c>
      <c r="Q578" s="318">
        <v>0</v>
      </c>
      <c r="R578" s="320">
        <v>0</v>
      </c>
      <c r="S578" s="320">
        <v>0</v>
      </c>
      <c r="T578" s="320">
        <v>0</v>
      </c>
      <c r="U578" s="320">
        <v>0.16459576478552418</v>
      </c>
      <c r="V578" s="315"/>
    </row>
    <row r="579" spans="1:22">
      <c r="A579" s="310"/>
      <c r="B579" s="55" t="s">
        <v>572</v>
      </c>
      <c r="C579" s="307">
        <v>0</v>
      </c>
      <c r="D579" s="308">
        <v>0</v>
      </c>
      <c r="E579" s="308">
        <v>0</v>
      </c>
      <c r="F579" s="308">
        <v>0</v>
      </c>
      <c r="G579" s="308">
        <v>0</v>
      </c>
      <c r="H579" s="308">
        <v>0</v>
      </c>
      <c r="I579" s="308">
        <v>0</v>
      </c>
      <c r="J579" s="309">
        <v>0</v>
      </c>
      <c r="K579" s="309">
        <v>0</v>
      </c>
      <c r="L579" s="308">
        <v>0</v>
      </c>
      <c r="M579" s="308">
        <v>0</v>
      </c>
      <c r="N579" s="308">
        <v>0</v>
      </c>
      <c r="O579" s="309">
        <v>0</v>
      </c>
      <c r="P579" s="309">
        <v>0</v>
      </c>
      <c r="Q579" s="308">
        <v>0</v>
      </c>
      <c r="R579" s="309">
        <v>0</v>
      </c>
      <c r="S579" s="309">
        <v>0</v>
      </c>
      <c r="T579" s="309">
        <v>0</v>
      </c>
      <c r="U579" s="309">
        <v>0</v>
      </c>
      <c r="V579" s="315"/>
    </row>
    <row r="580" spans="1:22">
      <c r="A580" s="310"/>
      <c r="B580" s="311" t="s">
        <v>573</v>
      </c>
      <c r="C580" s="312">
        <v>0</v>
      </c>
      <c r="D580" s="313">
        <v>0</v>
      </c>
      <c r="E580" s="313">
        <v>0</v>
      </c>
      <c r="F580" s="313">
        <v>0</v>
      </c>
      <c r="G580" s="313">
        <v>0</v>
      </c>
      <c r="H580" s="313">
        <v>0</v>
      </c>
      <c r="I580" s="313">
        <v>0</v>
      </c>
      <c r="J580" s="314">
        <v>0</v>
      </c>
      <c r="K580" s="314">
        <v>0</v>
      </c>
      <c r="L580" s="313">
        <v>0</v>
      </c>
      <c r="M580" s="313">
        <v>0</v>
      </c>
      <c r="N580" s="313">
        <v>0</v>
      </c>
      <c r="O580" s="314">
        <v>0</v>
      </c>
      <c r="P580" s="314">
        <v>0</v>
      </c>
      <c r="Q580" s="313">
        <v>0</v>
      </c>
      <c r="R580" s="314">
        <v>0</v>
      </c>
      <c r="S580" s="314">
        <v>0</v>
      </c>
      <c r="T580" s="314">
        <v>0</v>
      </c>
      <c r="U580" s="314">
        <v>0</v>
      </c>
      <c r="V580" s="315"/>
    </row>
    <row r="581" spans="1:22" ht="15" thickBot="1">
      <c r="A581" s="326"/>
      <c r="B581" s="327" t="s">
        <v>574</v>
      </c>
      <c r="C581" s="328">
        <v>0</v>
      </c>
      <c r="D581" s="329">
        <v>0</v>
      </c>
      <c r="E581" s="329">
        <v>0</v>
      </c>
      <c r="F581" s="329">
        <v>0</v>
      </c>
      <c r="G581" s="329">
        <v>0</v>
      </c>
      <c r="H581" s="329">
        <v>0</v>
      </c>
      <c r="I581" s="329">
        <v>0</v>
      </c>
      <c r="J581" s="330">
        <v>0</v>
      </c>
      <c r="K581" s="330">
        <v>0</v>
      </c>
      <c r="L581" s="329">
        <v>0</v>
      </c>
      <c r="M581" s="329">
        <v>0</v>
      </c>
      <c r="N581" s="329">
        <v>0</v>
      </c>
      <c r="O581" s="330">
        <v>0</v>
      </c>
      <c r="P581" s="330">
        <v>0</v>
      </c>
      <c r="Q581" s="329">
        <v>0</v>
      </c>
      <c r="R581" s="330">
        <v>0</v>
      </c>
      <c r="S581" s="330">
        <v>0</v>
      </c>
      <c r="T581" s="330">
        <v>0</v>
      </c>
      <c r="U581" s="330">
        <v>0</v>
      </c>
      <c r="V581" s="315"/>
    </row>
    <row r="582" spans="1:22">
      <c r="A582" s="306" t="s">
        <v>575</v>
      </c>
      <c r="B582" s="55"/>
      <c r="C582" s="307">
        <v>0.85805366471159694</v>
      </c>
      <c r="D582" s="308">
        <v>0.80587096411620818</v>
      </c>
      <c r="E582" s="308">
        <v>0.76387547692539381</v>
      </c>
      <c r="F582" s="308">
        <v>0.74283018148884972</v>
      </c>
      <c r="G582" s="308">
        <v>0.79374807650911516</v>
      </c>
      <c r="H582" s="308">
        <v>0.75228886001208717</v>
      </c>
      <c r="I582" s="308">
        <v>6.887093414727169E-2</v>
      </c>
      <c r="J582" s="309">
        <v>0.79270813394845707</v>
      </c>
      <c r="K582" s="309">
        <v>0.66460994327100653</v>
      </c>
      <c r="L582" s="308">
        <v>0.57460029719826466</v>
      </c>
      <c r="M582" s="308">
        <v>0.53083731198440498</v>
      </c>
      <c r="N582" s="308">
        <v>0.50753656315694584</v>
      </c>
      <c r="O582" s="309">
        <v>0.58374215054945</v>
      </c>
      <c r="P582" s="309">
        <v>0.63240552233000802</v>
      </c>
      <c r="Q582" s="308">
        <v>0.87710980419182449</v>
      </c>
      <c r="R582" s="309">
        <v>0.63911267241211422</v>
      </c>
      <c r="S582" s="309">
        <v>0</v>
      </c>
      <c r="T582" s="309">
        <v>0</v>
      </c>
      <c r="U582" s="309">
        <v>0.70599462089074705</v>
      </c>
      <c r="V582" s="315"/>
    </row>
    <row r="583" spans="1:22">
      <c r="A583" s="310" t="s">
        <v>576</v>
      </c>
      <c r="B583" s="311"/>
      <c r="C583" s="312">
        <v>0.54678844973795671</v>
      </c>
      <c r="D583" s="313">
        <v>0.52945020899099504</v>
      </c>
      <c r="E583" s="313">
        <v>0.500723162198767</v>
      </c>
      <c r="F583" s="313">
        <v>0.52304315495180864</v>
      </c>
      <c r="G583" s="313">
        <v>0.57797457734175195</v>
      </c>
      <c r="H583" s="313">
        <v>0.56253503432900376</v>
      </c>
      <c r="I583" s="313">
        <v>5.935921682290006E-2</v>
      </c>
      <c r="J583" s="314">
        <v>0.52361490783211595</v>
      </c>
      <c r="K583" s="314">
        <v>0.36349480838092801</v>
      </c>
      <c r="L583" s="313">
        <v>0.33645464079805038</v>
      </c>
      <c r="M583" s="313">
        <v>0.3327225925885805</v>
      </c>
      <c r="N583" s="313">
        <v>0.33690086637142225</v>
      </c>
      <c r="O583" s="314">
        <v>0.34169147429750657</v>
      </c>
      <c r="P583" s="314">
        <v>0.46953342338489323</v>
      </c>
      <c r="Q583" s="313">
        <v>0.7482226289605991</v>
      </c>
      <c r="R583" s="314">
        <v>0.47641228314563677</v>
      </c>
      <c r="S583" s="314">
        <v>0</v>
      </c>
      <c r="T583" s="314">
        <v>0</v>
      </c>
      <c r="U583" s="314">
        <v>0.44751081272543131</v>
      </c>
      <c r="V583" s="315"/>
    </row>
    <row r="584" spans="1:22">
      <c r="A584" s="310" t="s">
        <v>577</v>
      </c>
      <c r="B584" s="316"/>
      <c r="C584" s="317">
        <v>-31.126521497364024</v>
      </c>
      <c r="D584" s="318">
        <v>-27.642075512521313</v>
      </c>
      <c r="E584" s="318">
        <v>-26.315231472662681</v>
      </c>
      <c r="F584" s="318">
        <v>-21.978702653704108</v>
      </c>
      <c r="G584" s="318">
        <v>-21.577349916736321</v>
      </c>
      <c r="H584" s="318">
        <v>-18.975382568308341</v>
      </c>
      <c r="I584" s="318">
        <v>-0.95117173243716291</v>
      </c>
      <c r="J584" s="320">
        <v>-26.909322611634114</v>
      </c>
      <c r="K584" s="320">
        <v>-30.111513489007852</v>
      </c>
      <c r="L584" s="318">
        <v>-23.814565640021428</v>
      </c>
      <c r="M584" s="318">
        <v>-19.811471939582447</v>
      </c>
      <c r="N584" s="318">
        <v>-17.063569678552359</v>
      </c>
      <c r="O584" s="320">
        <v>-24.205067625194342</v>
      </c>
      <c r="P584" s="320">
        <v>-16.287209894511477</v>
      </c>
      <c r="Q584" s="318">
        <v>-12.888717523122539</v>
      </c>
      <c r="R584" s="320">
        <v>-16.270038926647747</v>
      </c>
      <c r="S584" s="320">
        <v>0</v>
      </c>
      <c r="T584" s="320">
        <v>0</v>
      </c>
      <c r="U584" s="320">
        <v>-25.848380816531574</v>
      </c>
      <c r="V584" s="315"/>
    </row>
    <row r="585" spans="1:22">
      <c r="A585" s="310" t="s">
        <v>578</v>
      </c>
      <c r="B585" s="55"/>
      <c r="C585" s="307">
        <v>1.5993618883643212E-2</v>
      </c>
      <c r="D585" s="308">
        <v>1.8005069647259928E-2</v>
      </c>
      <c r="E585" s="308">
        <v>2.2661249231328982E-2</v>
      </c>
      <c r="F585" s="308">
        <v>1.9821321937925379E-2</v>
      </c>
      <c r="G585" s="308">
        <v>7.9514459038094697E-3</v>
      </c>
      <c r="H585" s="308">
        <v>4.3509766003277259E-2</v>
      </c>
      <c r="I585" s="308">
        <v>5.3357188606873246E-2</v>
      </c>
      <c r="J585" s="309">
        <v>2.0037368168326242E-2</v>
      </c>
      <c r="K585" s="309">
        <v>3.9205094367171539E-2</v>
      </c>
      <c r="L585" s="308">
        <v>0.10889261681456991</v>
      </c>
      <c r="M585" s="308">
        <v>0.11206964024860627</v>
      </c>
      <c r="N585" s="308">
        <v>0.10100387702847619</v>
      </c>
      <c r="O585" s="309">
        <v>8.7532034953137175E-2</v>
      </c>
      <c r="P585" s="309">
        <v>3.9589200214903558E-3</v>
      </c>
      <c r="Q585" s="308">
        <v>4.3351067643726787E-2</v>
      </c>
      <c r="R585" s="309">
        <v>5.0386275122976474E-3</v>
      </c>
      <c r="S585" s="309">
        <v>0</v>
      </c>
      <c r="T585" s="309">
        <v>0</v>
      </c>
      <c r="U585" s="309">
        <v>4.5781598558103598E-2</v>
      </c>
      <c r="V585" s="315"/>
    </row>
    <row r="586" spans="1:22">
      <c r="A586" s="310" t="s">
        <v>579</v>
      </c>
      <c r="B586" s="311"/>
      <c r="C586" s="312">
        <v>9.8708069600994142E-3</v>
      </c>
      <c r="D586" s="313">
        <v>1.3522794465485195E-2</v>
      </c>
      <c r="E586" s="313">
        <v>2.083826558384097E-2</v>
      </c>
      <c r="F586" s="313">
        <v>1.7754514452755069E-2</v>
      </c>
      <c r="G586" s="313">
        <v>1.2307917825654813E-2</v>
      </c>
      <c r="H586" s="313">
        <v>3.5545019162063297E-2</v>
      </c>
      <c r="I586" s="313">
        <v>3.9040982718029513E-2</v>
      </c>
      <c r="J586" s="314">
        <v>1.5301742829427388E-2</v>
      </c>
      <c r="K586" s="314">
        <v>2.711150443579545E-2</v>
      </c>
      <c r="L586" s="313">
        <v>7.6376041224356511E-2</v>
      </c>
      <c r="M586" s="313">
        <v>0.10464551150451373</v>
      </c>
      <c r="N586" s="313">
        <v>7.8308776849948705E-2</v>
      </c>
      <c r="O586" s="314">
        <v>7.1687437169166188E-2</v>
      </c>
      <c r="P586" s="314">
        <v>4.4435137037161232E-3</v>
      </c>
      <c r="Q586" s="313">
        <v>0.12329794503424943</v>
      </c>
      <c r="R586" s="314">
        <v>7.3771865862977178E-3</v>
      </c>
      <c r="S586" s="314">
        <v>0</v>
      </c>
      <c r="T586" s="314">
        <v>0</v>
      </c>
      <c r="U586" s="314">
        <v>3.833351408847837E-2</v>
      </c>
      <c r="V586" s="315"/>
    </row>
    <row r="587" spans="1:22">
      <c r="A587" s="310" t="s">
        <v>580</v>
      </c>
      <c r="B587" s="316"/>
      <c r="C587" s="317">
        <v>-0.61228119235437972</v>
      </c>
      <c r="D587" s="318">
        <v>-0.44822751817747331</v>
      </c>
      <c r="E587" s="318">
        <v>-0.18229836474880112</v>
      </c>
      <c r="F587" s="318">
        <v>-0.20668074851703105</v>
      </c>
      <c r="G587" s="318">
        <v>0.4356471921845344</v>
      </c>
      <c r="H587" s="318">
        <v>-0.7964746841213961</v>
      </c>
      <c r="I587" s="318">
        <v>-1.4316205888843734</v>
      </c>
      <c r="J587" s="320">
        <v>-0.47356253388988534</v>
      </c>
      <c r="K587" s="320">
        <v>-1.209358993137609</v>
      </c>
      <c r="L587" s="318">
        <v>-3.2516575590213397</v>
      </c>
      <c r="M587" s="318">
        <v>-0.74241287440925396</v>
      </c>
      <c r="N587" s="318">
        <v>-2.2695100178527481</v>
      </c>
      <c r="O587" s="320">
        <v>-1.5844597783970986</v>
      </c>
      <c r="P587" s="320">
        <v>4.8459368222576737E-2</v>
      </c>
      <c r="Q587" s="318">
        <v>7.9946877390522637</v>
      </c>
      <c r="R587" s="320">
        <v>0.23385590740000706</v>
      </c>
      <c r="S587" s="320">
        <v>0</v>
      </c>
      <c r="T587" s="320">
        <v>0</v>
      </c>
      <c r="U587" s="320">
        <v>-0.7448084469625228</v>
      </c>
      <c r="V587" s="315"/>
    </row>
    <row r="588" spans="1:22">
      <c r="A588" s="310" t="s">
        <v>581</v>
      </c>
      <c r="B588" s="55"/>
      <c r="C588" s="307">
        <v>0.12061802479384988</v>
      </c>
      <c r="D588" s="308">
        <v>0.1636852295322492</v>
      </c>
      <c r="E588" s="308">
        <v>0.20259407869328563</v>
      </c>
      <c r="F588" s="308">
        <v>0.23382770698391028</v>
      </c>
      <c r="G588" s="308">
        <v>0.19086094567292955</v>
      </c>
      <c r="H588" s="308">
        <v>0.20285875446752316</v>
      </c>
      <c r="I588" s="308">
        <v>0.87657129582940352</v>
      </c>
      <c r="J588" s="309">
        <v>0.18008218378715982</v>
      </c>
      <c r="K588" s="309">
        <v>0.29117773420826876</v>
      </c>
      <c r="L588" s="308">
        <v>0.31172981470650979</v>
      </c>
      <c r="M588" s="308">
        <v>0.33489347711918738</v>
      </c>
      <c r="N588" s="308">
        <v>0.37517546018226294</v>
      </c>
      <c r="O588" s="309">
        <v>0.31847565701083547</v>
      </c>
      <c r="P588" s="309">
        <v>0.3589035247236721</v>
      </c>
      <c r="Q588" s="308">
        <v>7.953912816444865E-2</v>
      </c>
      <c r="R588" s="309">
        <v>0.35124636841621598</v>
      </c>
      <c r="S588" s="309">
        <v>0</v>
      </c>
      <c r="T588" s="309">
        <v>0</v>
      </c>
      <c r="U588" s="309">
        <v>0.23994357607397437</v>
      </c>
      <c r="V588" s="315"/>
    </row>
    <row r="589" spans="1:22">
      <c r="A589" s="310" t="s">
        <v>582</v>
      </c>
      <c r="B589" s="311"/>
      <c r="C589" s="312">
        <v>0.40626103960310672</v>
      </c>
      <c r="D589" s="313">
        <v>0.44600328975024611</v>
      </c>
      <c r="E589" s="313">
        <v>0.46137283637531151</v>
      </c>
      <c r="F589" s="313">
        <v>0.45109032489271594</v>
      </c>
      <c r="G589" s="313">
        <v>0.37529347129165502</v>
      </c>
      <c r="H589" s="313">
        <v>0.4007274945494107</v>
      </c>
      <c r="I589" s="313">
        <v>0.89844987428710954</v>
      </c>
      <c r="J589" s="314">
        <v>0.43641451774188117</v>
      </c>
      <c r="K589" s="314">
        <v>0.49982782782515756</v>
      </c>
      <c r="L589" s="313">
        <v>0.57494830984447332</v>
      </c>
      <c r="M589" s="313">
        <v>0.5314853250510464</v>
      </c>
      <c r="N589" s="313">
        <v>0.56606133233264921</v>
      </c>
      <c r="O589" s="314">
        <v>0.548158766974705</v>
      </c>
      <c r="P589" s="314">
        <v>0.51813271541680894</v>
      </c>
      <c r="Q589" s="313">
        <v>0.12847942600515158</v>
      </c>
      <c r="R589" s="314">
        <v>0.50851493948738902</v>
      </c>
      <c r="S589" s="314">
        <v>0</v>
      </c>
      <c r="T589" s="314">
        <v>0</v>
      </c>
      <c r="U589" s="314">
        <v>0.48422331226462434</v>
      </c>
      <c r="V589" s="315"/>
    </row>
    <row r="590" spans="1:22">
      <c r="A590" s="310" t="s">
        <v>583</v>
      </c>
      <c r="B590" s="316"/>
      <c r="C590" s="317">
        <v>28.564301480925685</v>
      </c>
      <c r="D590" s="318">
        <v>28.231806021799688</v>
      </c>
      <c r="E590" s="318">
        <v>25.877875768202586</v>
      </c>
      <c r="F590" s="318">
        <v>21.726261790880567</v>
      </c>
      <c r="G590" s="318">
        <v>18.443252561872548</v>
      </c>
      <c r="H590" s="318">
        <v>19.786874008188754</v>
      </c>
      <c r="I590" s="318">
        <v>2.1878578457706022</v>
      </c>
      <c r="J590" s="320">
        <v>25.633233395472132</v>
      </c>
      <c r="K590" s="320">
        <v>20.86500936168888</v>
      </c>
      <c r="L590" s="318">
        <v>26.321849513796352</v>
      </c>
      <c r="M590" s="318">
        <v>19.659184793185901</v>
      </c>
      <c r="N590" s="318">
        <v>19.088587215038626</v>
      </c>
      <c r="O590" s="320">
        <v>22.968310996386954</v>
      </c>
      <c r="P590" s="320">
        <v>15.922919069313684</v>
      </c>
      <c r="Q590" s="318">
        <v>4.8940297840702929</v>
      </c>
      <c r="R590" s="320">
        <v>15.726857107117304</v>
      </c>
      <c r="S590" s="320">
        <v>0</v>
      </c>
      <c r="T590" s="320">
        <v>0</v>
      </c>
      <c r="U590" s="320">
        <v>24.427973619064996</v>
      </c>
      <c r="V590" s="315"/>
    </row>
    <row r="591" spans="1:22">
      <c r="A591" s="310" t="s">
        <v>584</v>
      </c>
      <c r="B591" s="55"/>
      <c r="C591" s="307">
        <v>2.2947212283538341E-3</v>
      </c>
      <c r="D591" s="308">
        <v>2.2726325114681969E-3</v>
      </c>
      <c r="E591" s="308">
        <v>3.262246705158958E-3</v>
      </c>
      <c r="F591" s="308">
        <v>3.0995307322026545E-3</v>
      </c>
      <c r="G591" s="308">
        <v>1.5662493581245327E-3</v>
      </c>
      <c r="H591" s="308">
        <v>1.3415479931561764E-3</v>
      </c>
      <c r="I591" s="308">
        <v>1.2005814164515393E-3</v>
      </c>
      <c r="J591" s="309">
        <v>2.5295575813501347E-3</v>
      </c>
      <c r="K591" s="309">
        <v>1.0659135765668813E-4</v>
      </c>
      <c r="L591" s="308">
        <v>3.0889471611097666E-4</v>
      </c>
      <c r="M591" s="308">
        <v>1.2948905617771534E-2</v>
      </c>
      <c r="N591" s="308">
        <v>1.4550466982309457E-2</v>
      </c>
      <c r="O591" s="309">
        <v>4.8771689614517388E-3</v>
      </c>
      <c r="P591" s="309">
        <v>4.7320329248295816E-3</v>
      </c>
      <c r="Q591" s="308">
        <v>0</v>
      </c>
      <c r="R591" s="309">
        <v>4.6023316593722724E-3</v>
      </c>
      <c r="S591" s="309">
        <v>0</v>
      </c>
      <c r="T591" s="309">
        <v>0</v>
      </c>
      <c r="U591" s="309">
        <v>3.515898818881424E-3</v>
      </c>
      <c r="V591" s="315"/>
    </row>
    <row r="592" spans="1:22">
      <c r="A592" s="310" t="s">
        <v>585</v>
      </c>
      <c r="B592" s="311"/>
      <c r="C592" s="312">
        <v>3.4069100243658813E-2</v>
      </c>
      <c r="D592" s="313">
        <v>4.1215815700925479E-3</v>
      </c>
      <c r="E592" s="313">
        <v>3.1525321867652356E-3</v>
      </c>
      <c r="F592" s="313">
        <v>7.6758457417665767E-3</v>
      </c>
      <c r="G592" s="313">
        <v>2.8940142582356686E-2</v>
      </c>
      <c r="H592" s="313">
        <v>1.1924519595222429E-3</v>
      </c>
      <c r="I592" s="313">
        <v>3.1499261719609211E-3</v>
      </c>
      <c r="J592" s="314">
        <v>1.8572813188268346E-2</v>
      </c>
      <c r="K592" s="314">
        <v>0.10889851156098919</v>
      </c>
      <c r="L592" s="313">
        <v>5.9937381405075051E-3</v>
      </c>
      <c r="M592" s="313">
        <v>1.8384827463118609E-2</v>
      </c>
      <c r="N592" s="313">
        <v>1.361515197483784E-2</v>
      </c>
      <c r="O592" s="314">
        <v>3.2180953968447071E-2</v>
      </c>
      <c r="P592" s="314">
        <v>7.8903474945816333E-3</v>
      </c>
      <c r="Q592" s="313">
        <v>0</v>
      </c>
      <c r="R592" s="314">
        <v>7.6955907806764857E-3</v>
      </c>
      <c r="S592" s="314">
        <v>0</v>
      </c>
      <c r="T592" s="314">
        <v>0</v>
      </c>
      <c r="U592" s="314">
        <v>2.3910286204018444E-2</v>
      </c>
      <c r="V592" s="315"/>
    </row>
    <row r="593" spans="1:22">
      <c r="A593" s="310" t="s">
        <v>586</v>
      </c>
      <c r="B593" s="316"/>
      <c r="C593" s="317">
        <v>3.1774379015304977</v>
      </c>
      <c r="D593" s="318">
        <v>0.18489490586243509</v>
      </c>
      <c r="E593" s="318">
        <v>-1.0971451839372239E-2</v>
      </c>
      <c r="F593" s="318">
        <v>0.45763150095639216</v>
      </c>
      <c r="G593" s="318">
        <v>2.7373893224232155</v>
      </c>
      <c r="H593" s="318">
        <v>-1.4909603363393358E-2</v>
      </c>
      <c r="I593" s="318">
        <v>0.19493447555093818</v>
      </c>
      <c r="J593" s="320">
        <v>1.604325560691821</v>
      </c>
      <c r="K593" s="320">
        <v>10.87919202033325</v>
      </c>
      <c r="L593" s="318">
        <v>0.56848434243965285</v>
      </c>
      <c r="M593" s="318">
        <v>0.54359218453470748</v>
      </c>
      <c r="N593" s="318">
        <v>-9.3531500747161794E-2</v>
      </c>
      <c r="O593" s="320">
        <v>2.7303785006995334</v>
      </c>
      <c r="P593" s="320">
        <v>0.31583145697520515</v>
      </c>
      <c r="Q593" s="318">
        <v>0</v>
      </c>
      <c r="R593" s="320">
        <v>0.30932591213042132</v>
      </c>
      <c r="S593" s="320">
        <v>0</v>
      </c>
      <c r="T593" s="320">
        <v>0</v>
      </c>
      <c r="U593" s="320">
        <v>2.0394387385137018</v>
      </c>
      <c r="V593" s="315"/>
    </row>
    <row r="594" spans="1:22">
      <c r="A594" s="310" t="s">
        <v>587</v>
      </c>
      <c r="B594" s="55"/>
      <c r="C594" s="307">
        <v>2.2257894158576584E-3</v>
      </c>
      <c r="D594" s="308">
        <v>8.5403866879137195E-3</v>
      </c>
      <c r="E594" s="308">
        <v>7.1490669707643317E-3</v>
      </c>
      <c r="F594" s="308">
        <v>1.5197472185611523E-4</v>
      </c>
      <c r="G594" s="308">
        <v>5.8732825560213293E-3</v>
      </c>
      <c r="H594" s="308">
        <v>1.0715239561950292E-6</v>
      </c>
      <c r="I594" s="308">
        <v>0</v>
      </c>
      <c r="J594" s="309">
        <v>3.9760373239114133E-3</v>
      </c>
      <c r="K594" s="309">
        <v>4.5070417936083438E-3</v>
      </c>
      <c r="L594" s="308">
        <v>4.343979123353171E-3</v>
      </c>
      <c r="M594" s="308">
        <v>8.9959525839401529E-3</v>
      </c>
      <c r="N594" s="308">
        <v>1.6689887206833281E-3</v>
      </c>
      <c r="O594" s="309">
        <v>5.1440616303158604E-3</v>
      </c>
      <c r="P594" s="309">
        <v>0</v>
      </c>
      <c r="Q594" s="308">
        <v>0</v>
      </c>
      <c r="R594" s="309">
        <v>0</v>
      </c>
      <c r="S594" s="309">
        <v>0</v>
      </c>
      <c r="T594" s="309">
        <v>0</v>
      </c>
      <c r="U594" s="309">
        <v>4.2913399819402686E-3</v>
      </c>
      <c r="V594" s="315"/>
    </row>
    <row r="595" spans="1:22">
      <c r="A595" s="310" t="s">
        <v>588</v>
      </c>
      <c r="B595" s="311"/>
      <c r="C595" s="312">
        <v>2.5392605688709367E-3</v>
      </c>
      <c r="D595" s="313">
        <v>6.0864195149870131E-3</v>
      </c>
      <c r="E595" s="313">
        <v>1.3582763577644969E-2</v>
      </c>
      <c r="F595" s="313">
        <v>3.0581582395348446E-4</v>
      </c>
      <c r="G595" s="313">
        <v>5.4838909585815179E-3</v>
      </c>
      <c r="H595" s="313">
        <v>0</v>
      </c>
      <c r="I595" s="313">
        <v>0</v>
      </c>
      <c r="J595" s="314">
        <v>5.6924410286397177E-3</v>
      </c>
      <c r="K595" s="314">
        <v>3.0521936224492066E-4</v>
      </c>
      <c r="L595" s="313">
        <v>6.1723275248107157E-3</v>
      </c>
      <c r="M595" s="313">
        <v>1.2554937728599986E-2</v>
      </c>
      <c r="N595" s="313">
        <v>5.0277625910437815E-3</v>
      </c>
      <c r="O595" s="314">
        <v>6.1229053692189389E-3</v>
      </c>
      <c r="P595" s="314">
        <v>0</v>
      </c>
      <c r="Q595" s="313">
        <v>0</v>
      </c>
      <c r="R595" s="314">
        <v>0</v>
      </c>
      <c r="S595" s="314">
        <v>0</v>
      </c>
      <c r="T595" s="314">
        <v>0</v>
      </c>
      <c r="U595" s="314">
        <v>5.7294185073889824E-3</v>
      </c>
      <c r="V595" s="315"/>
    </row>
    <row r="596" spans="1:22">
      <c r="A596" s="310" t="s">
        <v>589</v>
      </c>
      <c r="B596" s="316"/>
      <c r="C596" s="317">
        <v>3.1347115301327833E-2</v>
      </c>
      <c r="D596" s="318">
        <v>-0.24539671729267065</v>
      </c>
      <c r="E596" s="318">
        <v>0.64336966068806378</v>
      </c>
      <c r="F596" s="318">
        <v>1.5384110209736923E-2</v>
      </c>
      <c r="G596" s="318">
        <v>-3.8939159743981142E-2</v>
      </c>
      <c r="H596" s="318">
        <v>-1.0715239561950293E-4</v>
      </c>
      <c r="I596" s="318">
        <v>0</v>
      </c>
      <c r="J596" s="320">
        <v>0.17164037047283043</v>
      </c>
      <c r="K596" s="320">
        <v>-0.42018224313634234</v>
      </c>
      <c r="L596" s="318">
        <v>0.18283484014575446</v>
      </c>
      <c r="M596" s="318">
        <v>0.35589851446598331</v>
      </c>
      <c r="N596" s="318">
        <v>0.33587738703604536</v>
      </c>
      <c r="O596" s="320">
        <v>9.7884373890307852E-2</v>
      </c>
      <c r="P596" s="320">
        <v>0</v>
      </c>
      <c r="Q596" s="318">
        <v>0</v>
      </c>
      <c r="R596" s="320">
        <v>0</v>
      </c>
      <c r="S596" s="320">
        <v>0</v>
      </c>
      <c r="T596" s="320">
        <v>0</v>
      </c>
      <c r="U596" s="320">
        <v>0.14380785254487138</v>
      </c>
      <c r="V596" s="315"/>
    </row>
    <row r="597" spans="1:22">
      <c r="A597" s="310" t="s">
        <v>590</v>
      </c>
      <c r="B597" s="55"/>
      <c r="C597" s="307">
        <v>8.1418096669841073E-4</v>
      </c>
      <c r="D597" s="308">
        <v>1.6257175049008779E-3</v>
      </c>
      <c r="E597" s="308">
        <v>4.5788147406837368E-4</v>
      </c>
      <c r="F597" s="308">
        <v>2.6928413525579425E-4</v>
      </c>
      <c r="G597" s="308">
        <v>0</v>
      </c>
      <c r="H597" s="308">
        <v>0</v>
      </c>
      <c r="I597" s="308">
        <v>0</v>
      </c>
      <c r="J597" s="309">
        <v>6.6671919079526877E-4</v>
      </c>
      <c r="K597" s="309">
        <v>3.9359500228809897E-4</v>
      </c>
      <c r="L597" s="308">
        <v>1.2439744119152691E-4</v>
      </c>
      <c r="M597" s="308">
        <v>2.5471244608959293E-4</v>
      </c>
      <c r="N597" s="308">
        <v>6.4643929322241581E-5</v>
      </c>
      <c r="O597" s="309">
        <v>2.2892689480987196E-4</v>
      </c>
      <c r="P597" s="309">
        <v>0</v>
      </c>
      <c r="Q597" s="308">
        <v>0</v>
      </c>
      <c r="R597" s="309">
        <v>0</v>
      </c>
      <c r="S597" s="309">
        <v>0</v>
      </c>
      <c r="T597" s="309">
        <v>0</v>
      </c>
      <c r="U597" s="309">
        <v>4.7296567635314612E-4</v>
      </c>
      <c r="V597" s="315"/>
    </row>
    <row r="598" spans="1:22">
      <c r="A598" s="310" t="s">
        <v>591</v>
      </c>
      <c r="B598" s="311"/>
      <c r="C598" s="312">
        <v>4.7134288630744614E-4</v>
      </c>
      <c r="D598" s="313">
        <v>8.1570570819413572E-4</v>
      </c>
      <c r="E598" s="313">
        <v>3.3044007767031461E-4</v>
      </c>
      <c r="F598" s="313">
        <v>1.3034413700023156E-4</v>
      </c>
      <c r="G598" s="313">
        <v>0</v>
      </c>
      <c r="H598" s="313">
        <v>0</v>
      </c>
      <c r="I598" s="313">
        <v>0</v>
      </c>
      <c r="J598" s="314">
        <v>4.0357737966748941E-4</v>
      </c>
      <c r="K598" s="314">
        <v>3.6212843488490584E-4</v>
      </c>
      <c r="L598" s="313">
        <v>5.4942467801578389E-5</v>
      </c>
      <c r="M598" s="313">
        <v>2.0680566414070406E-4</v>
      </c>
      <c r="N598" s="313">
        <v>8.6109880098268188E-5</v>
      </c>
      <c r="O598" s="314">
        <v>1.5846222095628626E-4</v>
      </c>
      <c r="P598" s="314">
        <v>0</v>
      </c>
      <c r="Q598" s="313">
        <v>0</v>
      </c>
      <c r="R598" s="314">
        <v>0</v>
      </c>
      <c r="S598" s="314">
        <v>0</v>
      </c>
      <c r="T598" s="314">
        <v>0</v>
      </c>
      <c r="U598" s="314">
        <v>2.9265621005855711E-4</v>
      </c>
      <c r="V598" s="315"/>
    </row>
    <row r="599" spans="1:22" ht="15" thickBot="1">
      <c r="A599" s="310" t="s">
        <v>592</v>
      </c>
      <c r="B599" s="322"/>
      <c r="C599" s="323">
        <v>-3.4283808039096461E-2</v>
      </c>
      <c r="D599" s="324">
        <v>-8.1001179670674217E-2</v>
      </c>
      <c r="E599" s="324">
        <v>-1.2744139639805908E-2</v>
      </c>
      <c r="F599" s="324">
        <v>-1.389399982555627E-2</v>
      </c>
      <c r="G599" s="324">
        <v>0</v>
      </c>
      <c r="H599" s="324">
        <v>0</v>
      </c>
      <c r="I599" s="324">
        <v>0</v>
      </c>
      <c r="J599" s="325">
        <v>-2.6314181112777935E-2</v>
      </c>
      <c r="K599" s="325">
        <v>-3.1466567403193131E-3</v>
      </c>
      <c r="L599" s="324">
        <v>-6.9454973389948523E-3</v>
      </c>
      <c r="M599" s="324">
        <v>-4.7906781948888867E-3</v>
      </c>
      <c r="N599" s="324">
        <v>2.1465950776026607E-3</v>
      </c>
      <c r="O599" s="325">
        <v>-7.0464673853585704E-3</v>
      </c>
      <c r="P599" s="325">
        <v>0</v>
      </c>
      <c r="Q599" s="324">
        <v>0</v>
      </c>
      <c r="R599" s="325">
        <v>0</v>
      </c>
      <c r="S599" s="325">
        <v>0</v>
      </c>
      <c r="T599" s="325">
        <v>0</v>
      </c>
      <c r="U599" s="325">
        <v>-1.8030946629458901E-2</v>
      </c>
      <c r="V599" s="315"/>
    </row>
    <row r="600" spans="1:22" ht="15" thickTop="1">
      <c r="A600" s="310" t="s">
        <v>593</v>
      </c>
      <c r="B600" s="311"/>
      <c r="C600" s="312">
        <v>0.73175824251341448</v>
      </c>
      <c r="D600" s="313">
        <v>0.60837892085222789</v>
      </c>
      <c r="E600" s="313">
        <v>0.42727730275795678</v>
      </c>
      <c r="F600" s="313">
        <v>0.48241470718379192</v>
      </c>
      <c r="G600" s="313">
        <v>0.48226914026859602</v>
      </c>
      <c r="H600" s="313">
        <v>0.41450297553449417</v>
      </c>
      <c r="I600" s="313">
        <v>0.30275741226072822</v>
      </c>
      <c r="J600" s="314">
        <v>0.60495615310856099</v>
      </c>
      <c r="K600" s="314">
        <v>0</v>
      </c>
      <c r="L600" s="313">
        <v>0</v>
      </c>
      <c r="M600" s="313">
        <v>0</v>
      </c>
      <c r="N600" s="313">
        <v>0</v>
      </c>
      <c r="O600" s="314">
        <v>0</v>
      </c>
      <c r="P600" s="314">
        <v>0</v>
      </c>
      <c r="Q600" s="313">
        <v>0</v>
      </c>
      <c r="R600" s="314">
        <v>0</v>
      </c>
      <c r="S600" s="314">
        <v>0</v>
      </c>
      <c r="T600" s="314">
        <v>0</v>
      </c>
      <c r="U600" s="314">
        <v>0.60495587755478841</v>
      </c>
      <c r="V600" s="315"/>
    </row>
    <row r="601" spans="1:22">
      <c r="A601" s="310" t="s">
        <v>594</v>
      </c>
      <c r="B601" s="311"/>
      <c r="C601" s="312">
        <v>0.53642747094553911</v>
      </c>
      <c r="D601" s="313">
        <v>0.40215843850031097</v>
      </c>
      <c r="E601" s="313">
        <v>0.24841269143152958</v>
      </c>
      <c r="F601" s="313">
        <v>0.33515323148940512</v>
      </c>
      <c r="G601" s="313">
        <v>0.27125423838979101</v>
      </c>
      <c r="H601" s="313">
        <v>0.26163691204043371</v>
      </c>
      <c r="I601" s="313">
        <v>0.29551765400430824</v>
      </c>
      <c r="J601" s="314">
        <v>0.42322881338092283</v>
      </c>
      <c r="K601" s="314">
        <v>0</v>
      </c>
      <c r="L601" s="313">
        <v>0</v>
      </c>
      <c r="M601" s="313">
        <v>0</v>
      </c>
      <c r="N601" s="313">
        <v>0</v>
      </c>
      <c r="O601" s="314">
        <v>0</v>
      </c>
      <c r="P601" s="314">
        <v>0</v>
      </c>
      <c r="Q601" s="313">
        <v>0</v>
      </c>
      <c r="R601" s="314">
        <v>0</v>
      </c>
      <c r="S601" s="314">
        <v>0</v>
      </c>
      <c r="T601" s="314">
        <v>0</v>
      </c>
      <c r="U601" s="314">
        <v>0.42322881338092283</v>
      </c>
      <c r="V601" s="315"/>
    </row>
    <row r="602" spans="1:22">
      <c r="A602" s="310" t="s">
        <v>595</v>
      </c>
      <c r="B602" s="316"/>
      <c r="C602" s="317">
        <v>-19.533077156787538</v>
      </c>
      <c r="D602" s="318">
        <v>-20.622048235191691</v>
      </c>
      <c r="E602" s="318">
        <v>-17.886461132642719</v>
      </c>
      <c r="F602" s="318">
        <v>-14.72614756943868</v>
      </c>
      <c r="G602" s="318">
        <v>-21.101490187880501</v>
      </c>
      <c r="H602" s="318">
        <v>-15.286606349406046</v>
      </c>
      <c r="I602" s="318">
        <v>-0.72397582564199814</v>
      </c>
      <c r="J602" s="320">
        <v>-18.172733972763815</v>
      </c>
      <c r="K602" s="320">
        <v>0</v>
      </c>
      <c r="L602" s="318">
        <v>0</v>
      </c>
      <c r="M602" s="318">
        <v>0</v>
      </c>
      <c r="N602" s="318">
        <v>0</v>
      </c>
      <c r="O602" s="320">
        <v>0</v>
      </c>
      <c r="P602" s="320">
        <v>0</v>
      </c>
      <c r="Q602" s="318">
        <v>0</v>
      </c>
      <c r="R602" s="320">
        <v>0</v>
      </c>
      <c r="S602" s="320">
        <v>0</v>
      </c>
      <c r="T602" s="320">
        <v>0</v>
      </c>
      <c r="U602" s="320">
        <v>-18.172706417386557</v>
      </c>
      <c r="V602" s="315"/>
    </row>
    <row r="603" spans="1:22">
      <c r="A603" s="310" t="s">
        <v>596</v>
      </c>
      <c r="B603" s="55"/>
      <c r="C603" s="307">
        <v>7.8911844480717683E-2</v>
      </c>
      <c r="D603" s="308">
        <v>4.0795024328364668E-2</v>
      </c>
      <c r="E603" s="308">
        <v>4.3242042282457975E-2</v>
      </c>
      <c r="F603" s="308">
        <v>2.8799229578513275E-2</v>
      </c>
      <c r="G603" s="308">
        <v>5.6208281977814419E-2</v>
      </c>
      <c r="H603" s="308">
        <v>4.5713026228785543E-2</v>
      </c>
      <c r="I603" s="308">
        <v>4.1745707659411484E-2</v>
      </c>
      <c r="J603" s="309">
        <v>5.9507284852191734E-2</v>
      </c>
      <c r="K603" s="309">
        <v>0</v>
      </c>
      <c r="L603" s="308">
        <v>0</v>
      </c>
      <c r="M603" s="308">
        <v>0</v>
      </c>
      <c r="N603" s="308">
        <v>0</v>
      </c>
      <c r="O603" s="309">
        <v>0</v>
      </c>
      <c r="P603" s="309">
        <v>0</v>
      </c>
      <c r="Q603" s="308">
        <v>0</v>
      </c>
      <c r="R603" s="309">
        <v>0</v>
      </c>
      <c r="S603" s="309">
        <v>0</v>
      </c>
      <c r="T603" s="309">
        <v>0</v>
      </c>
      <c r="U603" s="309">
        <v>5.9507257746992871E-2</v>
      </c>
      <c r="V603" s="315"/>
    </row>
    <row r="604" spans="1:22">
      <c r="A604" s="310" t="s">
        <v>597</v>
      </c>
      <c r="B604" s="311"/>
      <c r="C604" s="312">
        <v>4.0628508719040578E-2</v>
      </c>
      <c r="D604" s="313">
        <v>2.9067266168207928E-2</v>
      </c>
      <c r="E604" s="313">
        <v>2.7975633013258509E-2</v>
      </c>
      <c r="F604" s="313">
        <v>2.7394214659478E-2</v>
      </c>
      <c r="G604" s="313">
        <v>3.5681013097030687E-2</v>
      </c>
      <c r="H604" s="313">
        <v>4.8911714355588162E-3</v>
      </c>
      <c r="I604" s="313">
        <v>6.9428185502026105E-2</v>
      </c>
      <c r="J604" s="314">
        <v>3.6111932098576612E-2</v>
      </c>
      <c r="K604" s="314">
        <v>0</v>
      </c>
      <c r="L604" s="313">
        <v>0</v>
      </c>
      <c r="M604" s="313">
        <v>0</v>
      </c>
      <c r="N604" s="313">
        <v>0</v>
      </c>
      <c r="O604" s="314">
        <v>0</v>
      </c>
      <c r="P604" s="314">
        <v>0</v>
      </c>
      <c r="Q604" s="313">
        <v>0</v>
      </c>
      <c r="R604" s="314">
        <v>0</v>
      </c>
      <c r="S604" s="314">
        <v>0</v>
      </c>
      <c r="T604" s="314">
        <v>0</v>
      </c>
      <c r="U604" s="314">
        <v>3.6111932098576612E-2</v>
      </c>
      <c r="V604" s="315"/>
    </row>
    <row r="605" spans="1:22">
      <c r="A605" s="310" t="s">
        <v>598</v>
      </c>
      <c r="B605" s="316"/>
      <c r="C605" s="317">
        <v>-3.8283335761677106</v>
      </c>
      <c r="D605" s="318">
        <v>-1.172775816015674</v>
      </c>
      <c r="E605" s="318">
        <v>-1.5266409269199466</v>
      </c>
      <c r="F605" s="318">
        <v>-0.14050149190352745</v>
      </c>
      <c r="G605" s="318">
        <v>-2.0527268880783733</v>
      </c>
      <c r="H605" s="318">
        <v>-4.0821854793226722</v>
      </c>
      <c r="I605" s="318">
        <v>2.7682477842614621</v>
      </c>
      <c r="J605" s="320">
        <v>-2.3395352753615124</v>
      </c>
      <c r="K605" s="320">
        <v>0</v>
      </c>
      <c r="L605" s="318">
        <v>0</v>
      </c>
      <c r="M605" s="318">
        <v>0</v>
      </c>
      <c r="N605" s="318">
        <v>0</v>
      </c>
      <c r="O605" s="320">
        <v>0</v>
      </c>
      <c r="P605" s="320">
        <v>0</v>
      </c>
      <c r="Q605" s="318">
        <v>0</v>
      </c>
      <c r="R605" s="320">
        <v>0</v>
      </c>
      <c r="S605" s="320">
        <v>0</v>
      </c>
      <c r="T605" s="320">
        <v>0</v>
      </c>
      <c r="U605" s="320">
        <v>-2.3395325648416261</v>
      </c>
      <c r="V605" s="315"/>
    </row>
    <row r="606" spans="1:22">
      <c r="A606" s="310" t="s">
        <v>599</v>
      </c>
      <c r="B606" s="55"/>
      <c r="C606" s="307">
        <v>0.17370082027892861</v>
      </c>
      <c r="D606" s="308">
        <v>0.34198908042416154</v>
      </c>
      <c r="E606" s="308">
        <v>0.51894118422860747</v>
      </c>
      <c r="F606" s="308">
        <v>0.48405659697908376</v>
      </c>
      <c r="G606" s="308">
        <v>0.44790869655691262</v>
      </c>
      <c r="H606" s="308">
        <v>0.5397839982367203</v>
      </c>
      <c r="I606" s="308">
        <v>0.6546976738575121</v>
      </c>
      <c r="J606" s="309">
        <v>0.32373843236441741</v>
      </c>
      <c r="K606" s="309">
        <v>0</v>
      </c>
      <c r="L606" s="308">
        <v>0</v>
      </c>
      <c r="M606" s="308">
        <v>0</v>
      </c>
      <c r="N606" s="308">
        <v>1</v>
      </c>
      <c r="O606" s="309">
        <v>1</v>
      </c>
      <c r="P606" s="309">
        <v>0</v>
      </c>
      <c r="Q606" s="308">
        <v>0</v>
      </c>
      <c r="R606" s="309">
        <v>0</v>
      </c>
      <c r="S606" s="309">
        <v>0</v>
      </c>
      <c r="T606" s="309">
        <v>0</v>
      </c>
      <c r="U606" s="309">
        <v>0.32373874039736367</v>
      </c>
      <c r="V606" s="315"/>
    </row>
    <row r="607" spans="1:22">
      <c r="A607" s="310" t="s">
        <v>600</v>
      </c>
      <c r="B607" s="311"/>
      <c r="C607" s="312">
        <v>0.38845057915211922</v>
      </c>
      <c r="D607" s="313">
        <v>0.55763454111451838</v>
      </c>
      <c r="E607" s="313">
        <v>0.70951429263761145</v>
      </c>
      <c r="F607" s="313">
        <v>0.63073623758811537</v>
      </c>
      <c r="G607" s="313">
        <v>0.67279359989600374</v>
      </c>
      <c r="H607" s="313">
        <v>0.73347191652400745</v>
      </c>
      <c r="I607" s="313">
        <v>0.5842718552257683</v>
      </c>
      <c r="J607" s="314">
        <v>0.51581050405319651</v>
      </c>
      <c r="K607" s="314">
        <v>0</v>
      </c>
      <c r="L607" s="313">
        <v>0</v>
      </c>
      <c r="M607" s="313">
        <v>0</v>
      </c>
      <c r="N607" s="313">
        <v>0</v>
      </c>
      <c r="O607" s="314">
        <v>0</v>
      </c>
      <c r="P607" s="314">
        <v>0</v>
      </c>
      <c r="Q607" s="313">
        <v>0</v>
      </c>
      <c r="R607" s="314">
        <v>0</v>
      </c>
      <c r="S607" s="314">
        <v>0</v>
      </c>
      <c r="T607" s="314">
        <v>0</v>
      </c>
      <c r="U607" s="314">
        <v>0.51581050405319651</v>
      </c>
      <c r="V607" s="315"/>
    </row>
    <row r="608" spans="1:22">
      <c r="A608" s="310" t="s">
        <v>601</v>
      </c>
      <c r="B608" s="316"/>
      <c r="C608" s="317">
        <v>21.474975887319061</v>
      </c>
      <c r="D608" s="318">
        <v>21.564546069035686</v>
      </c>
      <c r="E608" s="318">
        <v>19.057310840900399</v>
      </c>
      <c r="F608" s="318">
        <v>14.667964060903159</v>
      </c>
      <c r="G608" s="318">
        <v>22.488490333909112</v>
      </c>
      <c r="H608" s="318">
        <v>19.368791828728714</v>
      </c>
      <c r="I608" s="318">
        <v>-7.0425818631743802</v>
      </c>
      <c r="J608" s="320">
        <v>19.207207168877911</v>
      </c>
      <c r="K608" s="320">
        <v>0</v>
      </c>
      <c r="L608" s="318">
        <v>0</v>
      </c>
      <c r="M608" s="318">
        <v>0</v>
      </c>
      <c r="N608" s="318">
        <v>-100</v>
      </c>
      <c r="O608" s="320">
        <v>-100</v>
      </c>
      <c r="P608" s="320">
        <v>0</v>
      </c>
      <c r="Q608" s="318">
        <v>0</v>
      </c>
      <c r="R608" s="320">
        <v>0</v>
      </c>
      <c r="S608" s="320">
        <v>0</v>
      </c>
      <c r="T608" s="320">
        <v>0</v>
      </c>
      <c r="U608" s="320">
        <v>19.207176365583283</v>
      </c>
      <c r="V608" s="315"/>
    </row>
    <row r="609" spans="1:22">
      <c r="A609" s="310" t="s">
        <v>602</v>
      </c>
      <c r="B609" s="55"/>
      <c r="C609" s="307">
        <v>1.1878267790506353E-2</v>
      </c>
      <c r="D609" s="308">
        <v>3.9774811645480588E-4</v>
      </c>
      <c r="E609" s="308">
        <v>4.8793245990939064E-3</v>
      </c>
      <c r="F609" s="308">
        <v>4.6231197343700146E-3</v>
      </c>
      <c r="G609" s="308">
        <v>1.3205704864501465E-3</v>
      </c>
      <c r="H609" s="308">
        <v>0</v>
      </c>
      <c r="I609" s="308">
        <v>7.9920622234821873E-4</v>
      </c>
      <c r="J609" s="309">
        <v>7.4701775172473558E-3</v>
      </c>
      <c r="K609" s="309">
        <v>0</v>
      </c>
      <c r="L609" s="308">
        <v>0</v>
      </c>
      <c r="M609" s="308">
        <v>0</v>
      </c>
      <c r="N609" s="308">
        <v>0</v>
      </c>
      <c r="O609" s="309">
        <v>0</v>
      </c>
      <c r="P609" s="309">
        <v>0</v>
      </c>
      <c r="Q609" s="308">
        <v>0</v>
      </c>
      <c r="R609" s="309">
        <v>0</v>
      </c>
      <c r="S609" s="309">
        <v>0</v>
      </c>
      <c r="T609" s="309">
        <v>0</v>
      </c>
      <c r="U609" s="309">
        <v>7.4701741146278667E-3</v>
      </c>
      <c r="V609" s="315"/>
    </row>
    <row r="610" spans="1:22">
      <c r="A610" s="310" t="s">
        <v>603</v>
      </c>
      <c r="B610" s="311"/>
      <c r="C610" s="312">
        <v>3.0420425989042887E-2</v>
      </c>
      <c r="D610" s="313">
        <v>4.4537548850473539E-3</v>
      </c>
      <c r="E610" s="313">
        <v>3.0994418429507618E-3</v>
      </c>
      <c r="F610" s="313">
        <v>5.180774330918448E-3</v>
      </c>
      <c r="G610" s="313">
        <v>1.1638645448538093E-2</v>
      </c>
      <c r="H610" s="313">
        <v>0</v>
      </c>
      <c r="I610" s="313">
        <v>5.0782305267897336E-2</v>
      </c>
      <c r="J610" s="314">
        <v>1.9222530434662558E-2</v>
      </c>
      <c r="K610" s="314">
        <v>0</v>
      </c>
      <c r="L610" s="313">
        <v>0</v>
      </c>
      <c r="M610" s="313">
        <v>0</v>
      </c>
      <c r="N610" s="313">
        <v>0</v>
      </c>
      <c r="O610" s="314">
        <v>0</v>
      </c>
      <c r="P610" s="314">
        <v>0</v>
      </c>
      <c r="Q610" s="313">
        <v>0</v>
      </c>
      <c r="R610" s="314">
        <v>0</v>
      </c>
      <c r="S610" s="314">
        <v>0</v>
      </c>
      <c r="T610" s="314">
        <v>0</v>
      </c>
      <c r="U610" s="314">
        <v>1.9222530434662558E-2</v>
      </c>
      <c r="V610" s="315"/>
    </row>
    <row r="611" spans="1:22">
      <c r="A611" s="310" t="s">
        <v>604</v>
      </c>
      <c r="B611" s="316"/>
      <c r="C611" s="317">
        <v>1.8542158198536534</v>
      </c>
      <c r="D611" s="318">
        <v>0.40560067685925483</v>
      </c>
      <c r="E611" s="318">
        <v>-0.17798827561431446</v>
      </c>
      <c r="F611" s="318">
        <v>5.5765459654843336E-2</v>
      </c>
      <c r="G611" s="318">
        <v>1.0318074962087946</v>
      </c>
      <c r="H611" s="318">
        <v>0</v>
      </c>
      <c r="I611" s="318">
        <v>4.9983099045549118</v>
      </c>
      <c r="J611" s="320">
        <v>1.1752352917415201</v>
      </c>
      <c r="K611" s="320">
        <v>0</v>
      </c>
      <c r="L611" s="318">
        <v>0</v>
      </c>
      <c r="M611" s="318">
        <v>0</v>
      </c>
      <c r="N611" s="318">
        <v>0</v>
      </c>
      <c r="O611" s="320">
        <v>0</v>
      </c>
      <c r="P611" s="320">
        <v>0</v>
      </c>
      <c r="Q611" s="318">
        <v>0</v>
      </c>
      <c r="R611" s="320">
        <v>0</v>
      </c>
      <c r="S611" s="320">
        <v>0</v>
      </c>
      <c r="T611" s="320">
        <v>0</v>
      </c>
      <c r="U611" s="320">
        <v>1.1752356320034691</v>
      </c>
      <c r="V611" s="315"/>
    </row>
    <row r="612" spans="1:22">
      <c r="A612" s="310" t="s">
        <v>605</v>
      </c>
      <c r="B612" s="55"/>
      <c r="C612" s="307">
        <v>2.0989855951743541E-3</v>
      </c>
      <c r="D612" s="308">
        <v>3.3022082323747866E-3</v>
      </c>
      <c r="E612" s="308">
        <v>4.3900961698354873E-3</v>
      </c>
      <c r="F612" s="308">
        <v>3.1017736236987321E-5</v>
      </c>
      <c r="G612" s="308">
        <v>1.2293310710226818E-2</v>
      </c>
      <c r="H612" s="308">
        <v>0</v>
      </c>
      <c r="I612" s="308">
        <v>0</v>
      </c>
      <c r="J612" s="309">
        <v>2.5589652925414766E-3</v>
      </c>
      <c r="K612" s="309">
        <v>0</v>
      </c>
      <c r="L612" s="308">
        <v>0</v>
      </c>
      <c r="M612" s="308">
        <v>0</v>
      </c>
      <c r="N612" s="308">
        <v>0</v>
      </c>
      <c r="O612" s="309">
        <v>0</v>
      </c>
      <c r="P612" s="309">
        <v>0</v>
      </c>
      <c r="Q612" s="308">
        <v>0</v>
      </c>
      <c r="R612" s="309">
        <v>0</v>
      </c>
      <c r="S612" s="309">
        <v>0</v>
      </c>
      <c r="T612" s="309">
        <v>0</v>
      </c>
      <c r="U612" s="309">
        <v>2.5589641269486703E-3</v>
      </c>
      <c r="V612" s="315"/>
    </row>
    <row r="613" spans="1:22">
      <c r="A613" s="310" t="s">
        <v>606</v>
      </c>
      <c r="B613" s="311"/>
      <c r="C613" s="312">
        <v>3.0368672165544341E-3</v>
      </c>
      <c r="D613" s="313">
        <v>3.7053797992826249E-3</v>
      </c>
      <c r="E613" s="313">
        <v>1.0160280353965101E-2</v>
      </c>
      <c r="F613" s="313">
        <v>1.3816212610867167E-3</v>
      </c>
      <c r="G613" s="313">
        <v>8.6325031686364569E-3</v>
      </c>
      <c r="H613" s="313">
        <v>0</v>
      </c>
      <c r="I613" s="313">
        <v>0</v>
      </c>
      <c r="J613" s="314">
        <v>4.526508901720897E-3</v>
      </c>
      <c r="K613" s="314">
        <v>0</v>
      </c>
      <c r="L613" s="313">
        <v>0</v>
      </c>
      <c r="M613" s="313">
        <v>0</v>
      </c>
      <c r="N613" s="313">
        <v>0</v>
      </c>
      <c r="O613" s="314">
        <v>0</v>
      </c>
      <c r="P613" s="314">
        <v>0</v>
      </c>
      <c r="Q613" s="313">
        <v>0</v>
      </c>
      <c r="R613" s="314">
        <v>0</v>
      </c>
      <c r="S613" s="314">
        <v>0</v>
      </c>
      <c r="T613" s="314">
        <v>0</v>
      </c>
      <c r="U613" s="314">
        <v>4.526508901720897E-3</v>
      </c>
      <c r="V613" s="315"/>
    </row>
    <row r="614" spans="1:22">
      <c r="A614" s="310" t="s">
        <v>607</v>
      </c>
      <c r="B614" s="316"/>
      <c r="C614" s="317">
        <v>9.3788162138008002E-2</v>
      </c>
      <c r="D614" s="318">
        <v>4.0317156690783826E-2</v>
      </c>
      <c r="E614" s="318">
        <v>0.57701841841296142</v>
      </c>
      <c r="F614" s="318">
        <v>0.13506035248497295</v>
      </c>
      <c r="G614" s="318">
        <v>-0.36608075415903613</v>
      </c>
      <c r="H614" s="318">
        <v>0</v>
      </c>
      <c r="I614" s="318">
        <v>0</v>
      </c>
      <c r="J614" s="320">
        <v>0.19675436091794204</v>
      </c>
      <c r="K614" s="320">
        <v>0</v>
      </c>
      <c r="L614" s="318">
        <v>0</v>
      </c>
      <c r="M614" s="318">
        <v>0</v>
      </c>
      <c r="N614" s="318">
        <v>0</v>
      </c>
      <c r="O614" s="320">
        <v>0</v>
      </c>
      <c r="P614" s="320">
        <v>0</v>
      </c>
      <c r="Q614" s="318">
        <v>0</v>
      </c>
      <c r="R614" s="320">
        <v>0</v>
      </c>
      <c r="S614" s="320">
        <v>0</v>
      </c>
      <c r="T614" s="320">
        <v>0</v>
      </c>
      <c r="U614" s="320">
        <v>0.19675447747722266</v>
      </c>
      <c r="V614" s="315"/>
    </row>
    <row r="615" spans="1:22">
      <c r="A615" s="310" t="s">
        <v>608</v>
      </c>
      <c r="B615" s="55"/>
      <c r="C615" s="307">
        <v>1.651839341258572E-3</v>
      </c>
      <c r="D615" s="308">
        <v>5.1370180464163067E-3</v>
      </c>
      <c r="E615" s="308">
        <v>1.2700499620483475E-3</v>
      </c>
      <c r="F615" s="308">
        <v>7.5328788004112071E-5</v>
      </c>
      <c r="G615" s="308">
        <v>0</v>
      </c>
      <c r="H615" s="308">
        <v>0</v>
      </c>
      <c r="I615" s="308">
        <v>0</v>
      </c>
      <c r="J615" s="309">
        <v>1.7689868650409841E-3</v>
      </c>
      <c r="K615" s="309">
        <v>0</v>
      </c>
      <c r="L615" s="308">
        <v>0</v>
      </c>
      <c r="M615" s="308">
        <v>0</v>
      </c>
      <c r="N615" s="308">
        <v>0</v>
      </c>
      <c r="O615" s="309">
        <v>0</v>
      </c>
      <c r="P615" s="309">
        <v>0</v>
      </c>
      <c r="Q615" s="308">
        <v>0</v>
      </c>
      <c r="R615" s="309">
        <v>0</v>
      </c>
      <c r="S615" s="309">
        <v>0</v>
      </c>
      <c r="T615" s="309">
        <v>0</v>
      </c>
      <c r="U615" s="309">
        <v>1.7689860592784478E-3</v>
      </c>
      <c r="V615" s="315"/>
    </row>
    <row r="616" spans="1:22">
      <c r="A616" s="310" t="s">
        <v>609</v>
      </c>
      <c r="B616" s="311"/>
      <c r="C616" s="312">
        <v>1.0361479777038099E-3</v>
      </c>
      <c r="D616" s="313">
        <v>2.9806195326326744E-3</v>
      </c>
      <c r="E616" s="313">
        <v>8.3766072068460786E-4</v>
      </c>
      <c r="F616" s="313">
        <v>1.5392067099639814E-4</v>
      </c>
      <c r="G616" s="313">
        <v>0</v>
      </c>
      <c r="H616" s="313">
        <v>0</v>
      </c>
      <c r="I616" s="313">
        <v>0</v>
      </c>
      <c r="J616" s="314">
        <v>1.0997111309206859E-3</v>
      </c>
      <c r="K616" s="314">
        <v>0</v>
      </c>
      <c r="L616" s="313">
        <v>0</v>
      </c>
      <c r="M616" s="313">
        <v>0</v>
      </c>
      <c r="N616" s="313">
        <v>0</v>
      </c>
      <c r="O616" s="314">
        <v>0</v>
      </c>
      <c r="P616" s="314">
        <v>0</v>
      </c>
      <c r="Q616" s="313">
        <v>0</v>
      </c>
      <c r="R616" s="314">
        <v>0</v>
      </c>
      <c r="S616" s="314">
        <v>0</v>
      </c>
      <c r="T616" s="314">
        <v>0</v>
      </c>
      <c r="U616" s="314">
        <v>1.0997111309206859E-3</v>
      </c>
      <c r="V616" s="315"/>
    </row>
    <row r="617" spans="1:22">
      <c r="A617" s="334" t="s">
        <v>610</v>
      </c>
      <c r="B617" s="316"/>
      <c r="C617" s="317">
        <v>-6.1569136355476208E-2</v>
      </c>
      <c r="D617" s="318">
        <v>-0.21563985137836322</v>
      </c>
      <c r="E617" s="318">
        <v>-4.3238924136373966E-2</v>
      </c>
      <c r="F617" s="318">
        <v>7.8591882992286068E-3</v>
      </c>
      <c r="G617" s="318">
        <v>0</v>
      </c>
      <c r="H617" s="318">
        <v>0</v>
      </c>
      <c r="I617" s="318">
        <v>0</v>
      </c>
      <c r="J617" s="320">
        <v>-6.6927573412029817E-2</v>
      </c>
      <c r="K617" s="320">
        <v>0</v>
      </c>
      <c r="L617" s="318">
        <v>0</v>
      </c>
      <c r="M617" s="318">
        <v>0</v>
      </c>
      <c r="N617" s="318">
        <v>0</v>
      </c>
      <c r="O617" s="320">
        <v>0</v>
      </c>
      <c r="P617" s="320">
        <v>0</v>
      </c>
      <c r="Q617" s="318">
        <v>0</v>
      </c>
      <c r="R617" s="320">
        <v>0</v>
      </c>
      <c r="S617" s="320">
        <v>0</v>
      </c>
      <c r="T617" s="320">
        <v>0</v>
      </c>
      <c r="U617" s="320">
        <v>-6.6927492835776189E-2</v>
      </c>
      <c r="V617" s="315"/>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AH627"/>
  <sheetViews>
    <sheetView topLeftCell="A2" zoomScale="90" zoomScaleNormal="90" zoomScalePageLayoutView="90" workbookViewId="0">
      <pane xSplit="5" ySplit="5" topLeftCell="F101" activePane="bottomRight" state="frozenSplit"/>
      <selection activeCell="A2" sqref="A2 A2"/>
      <selection pane="topRight" activeCell="A2" sqref="A2"/>
      <selection pane="bottomLeft" activeCell="A2" sqref="A2"/>
      <selection pane="bottomRight" activeCell="E131" sqref="E131"/>
    </sheetView>
  </sheetViews>
  <sheetFormatPr defaultColWidth="8.84375" defaultRowHeight="13"/>
  <cols>
    <col min="1" max="1" width="6.4609375" style="39" customWidth="1"/>
    <col min="2" max="2" width="32.07421875" style="40" customWidth="1"/>
    <col min="3" max="3" width="35.07421875" style="40" customWidth="1"/>
    <col min="4" max="4" width="10.23046875" style="39" customWidth="1"/>
    <col min="5" max="5" width="6.765625" style="39" customWidth="1"/>
    <col min="6" max="6" width="11.84375" style="15" customWidth="1"/>
    <col min="7" max="7" width="11.84375" style="41" customWidth="1"/>
    <col min="8" max="8" width="11.3046875" style="15" customWidth="1"/>
    <col min="9" max="9" width="11.3046875" style="41" customWidth="1"/>
    <col min="10" max="11" width="10.765625" style="15" customWidth="1"/>
    <col min="12" max="12" width="10.4609375" style="15" customWidth="1"/>
    <col min="13" max="13" width="13.4609375" style="42" customWidth="1"/>
    <col min="14" max="14" width="10.4609375" style="42" customWidth="1"/>
    <col min="15" max="15" width="9.84375" style="42" customWidth="1"/>
    <col min="16" max="16" width="11.4609375" style="15" customWidth="1"/>
    <col min="17" max="17" width="12.23046875" style="41" customWidth="1"/>
    <col min="18" max="18" width="9.4609375" style="15" customWidth="1"/>
    <col min="19" max="19" width="9.4609375" style="41" customWidth="1"/>
    <col min="20" max="20" width="10.84375" style="15" customWidth="1"/>
    <col min="21" max="21" width="10.84375" style="41" customWidth="1"/>
    <col min="22" max="22" width="10.4609375" style="15" customWidth="1"/>
    <col min="23" max="23" width="10.4609375" style="41" customWidth="1"/>
    <col min="24" max="25" width="10.3046875" style="15" customWidth="1"/>
    <col min="26" max="26" width="8.765625" style="15" customWidth="1"/>
    <col min="27" max="27" width="11.4609375" style="42" customWidth="1"/>
    <col min="28" max="28" width="12.4609375" style="42" customWidth="1"/>
    <col min="29" max="29" width="10.23046875" style="42" customWidth="1"/>
    <col min="30" max="30" width="11.765625" style="15" customWidth="1"/>
    <col min="31" max="31" width="12.3046875" style="41" customWidth="1"/>
    <col min="32" max="33" width="8.765625" style="15" customWidth="1"/>
    <col min="34" max="34" width="8.84375" style="15" customWidth="1"/>
    <col min="35" max="16384" width="8.84375" style="15"/>
  </cols>
  <sheetData>
    <row r="1" spans="1:33" hidden="1">
      <c r="A1" s="18"/>
      <c r="B1" s="19"/>
      <c r="C1" s="19"/>
      <c r="D1" s="20"/>
      <c r="E1" s="18"/>
      <c r="F1" s="21">
        <f>SUM(H1,J1,L1,M1,N1,R1)</f>
        <v>0</v>
      </c>
      <c r="G1" s="22">
        <f>SUM(I1,K1,O1,P1,Q1,S1)</f>
        <v>0</v>
      </c>
      <c r="H1" s="20"/>
      <c r="I1" s="20"/>
      <c r="J1" s="20"/>
      <c r="K1" s="20"/>
      <c r="L1" s="20"/>
      <c r="M1" s="20"/>
      <c r="N1" s="20"/>
      <c r="O1" s="20"/>
      <c r="P1" s="20"/>
      <c r="Q1" s="20"/>
      <c r="R1" s="20"/>
      <c r="S1" s="20"/>
      <c r="T1" s="23">
        <f>SUM(V1,X1,Z1,AA1,AB1,AF1)</f>
        <v>0</v>
      </c>
      <c r="U1" s="287">
        <f>SUM(W1,Y1,AC1,AD1,AE1,AG1)</f>
        <v>0</v>
      </c>
      <c r="V1" s="20"/>
      <c r="W1" s="20"/>
      <c r="X1" s="20"/>
      <c r="Y1" s="20"/>
      <c r="Z1" s="20"/>
      <c r="AA1" s="20"/>
      <c r="AB1" s="20"/>
      <c r="AC1" s="20"/>
      <c r="AD1" s="20"/>
      <c r="AE1" s="20"/>
      <c r="AF1" s="20"/>
      <c r="AG1" s="20"/>
    </row>
    <row r="2" spans="1:33" s="14" customFormat="1" ht="18" customHeight="1" thickBot="1">
      <c r="A2" s="16" t="s">
        <v>0</v>
      </c>
      <c r="B2" s="16"/>
      <c r="C2" s="16"/>
      <c r="D2" s="16"/>
      <c r="E2" s="16"/>
      <c r="F2" s="10" t="s">
        <v>1</v>
      </c>
      <c r="G2" s="11"/>
      <c r="H2" s="11"/>
      <c r="I2" s="11"/>
      <c r="J2" s="11"/>
      <c r="K2" s="11"/>
      <c r="L2" s="11"/>
      <c r="M2" s="11"/>
      <c r="N2" s="12"/>
      <c r="O2" s="11"/>
      <c r="P2" s="11"/>
      <c r="Q2" s="11"/>
      <c r="R2" s="11"/>
      <c r="S2" s="11"/>
      <c r="T2" s="10" t="s">
        <v>2</v>
      </c>
      <c r="U2" s="11"/>
      <c r="V2" s="11"/>
      <c r="W2" s="11"/>
      <c r="X2" s="11"/>
      <c r="Y2" s="11"/>
      <c r="Z2" s="11"/>
      <c r="AA2" s="11"/>
      <c r="AB2" s="12"/>
      <c r="AC2" s="11"/>
      <c r="AD2" s="11"/>
      <c r="AE2" s="11"/>
      <c r="AF2" s="17"/>
      <c r="AG2" s="11"/>
    </row>
    <row r="3" spans="1:33" s="14" customFormat="1" ht="12.75" customHeight="1" thickTop="1">
      <c r="A3" s="24" t="s">
        <v>698</v>
      </c>
      <c r="B3" s="25"/>
      <c r="C3" s="25"/>
      <c r="D3" s="25"/>
      <c r="E3" s="25"/>
      <c r="F3" s="26" t="s">
        <v>3</v>
      </c>
      <c r="G3" s="27"/>
      <c r="H3" s="9"/>
      <c r="I3" s="8"/>
      <c r="J3" s="9"/>
      <c r="K3" s="8"/>
      <c r="L3" s="288" t="s">
        <v>4</v>
      </c>
      <c r="M3" s="289"/>
      <c r="N3" s="13"/>
      <c r="O3" s="6"/>
      <c r="P3" s="5"/>
      <c r="Q3" s="5"/>
      <c r="R3" s="7"/>
      <c r="S3" s="8"/>
      <c r="T3" s="26" t="s">
        <v>3</v>
      </c>
      <c r="U3" s="27"/>
      <c r="V3" s="9"/>
      <c r="W3" s="8"/>
      <c r="X3" s="9"/>
      <c r="Y3" s="8"/>
      <c r="Z3" s="288" t="s">
        <v>4</v>
      </c>
      <c r="AA3" s="289"/>
      <c r="AB3" s="13"/>
      <c r="AC3" s="6"/>
      <c r="AD3" s="5"/>
      <c r="AE3" s="5"/>
      <c r="AF3" s="7"/>
      <c r="AG3" s="8"/>
    </row>
    <row r="4" spans="1:33" s="14" customFormat="1" ht="118.9" customHeight="1">
      <c r="A4" s="28" t="s">
        <v>5</v>
      </c>
      <c r="B4" s="29"/>
      <c r="C4" s="29"/>
      <c r="D4" s="29"/>
      <c r="E4" s="29"/>
      <c r="F4" s="290" t="s">
        <v>699</v>
      </c>
      <c r="G4" s="4"/>
      <c r="H4" s="506" t="s">
        <v>6</v>
      </c>
      <c r="I4" s="507"/>
      <c r="J4" s="288" t="s">
        <v>7</v>
      </c>
      <c r="K4" s="3"/>
      <c r="L4" s="2" t="s">
        <v>8</v>
      </c>
      <c r="M4" s="2" t="s">
        <v>9</v>
      </c>
      <c r="N4" s="291" t="s">
        <v>10</v>
      </c>
      <c r="O4" s="3" t="s">
        <v>8</v>
      </c>
      <c r="P4" s="3" t="s">
        <v>11</v>
      </c>
      <c r="Q4" s="3" t="s">
        <v>12</v>
      </c>
      <c r="R4" s="292" t="s">
        <v>13</v>
      </c>
      <c r="S4" s="3"/>
      <c r="T4" s="290" t="s">
        <v>700</v>
      </c>
      <c r="U4" s="4"/>
      <c r="V4" s="288" t="s">
        <v>6</v>
      </c>
      <c r="W4" s="3"/>
      <c r="X4" s="288" t="s">
        <v>7</v>
      </c>
      <c r="Y4" s="3"/>
      <c r="Z4" s="2" t="s">
        <v>8</v>
      </c>
      <c r="AA4" s="2" t="s">
        <v>9</v>
      </c>
      <c r="AB4" s="291" t="s">
        <v>10</v>
      </c>
      <c r="AC4" s="3" t="s">
        <v>8</v>
      </c>
      <c r="AD4" s="3" t="s">
        <v>11</v>
      </c>
      <c r="AE4" s="3" t="s">
        <v>12</v>
      </c>
      <c r="AF4" s="292" t="s">
        <v>13</v>
      </c>
      <c r="AG4" s="3"/>
    </row>
    <row r="5" spans="1:33" s="43" customFormat="1" ht="38.25" customHeight="1" thickBot="1">
      <c r="A5" s="30" t="s">
        <v>14</v>
      </c>
      <c r="B5" s="31" t="s">
        <v>15</v>
      </c>
      <c r="C5" s="32" t="s">
        <v>16</v>
      </c>
      <c r="D5" s="33" t="s">
        <v>17</v>
      </c>
      <c r="E5" s="335" t="s">
        <v>18</v>
      </c>
      <c r="F5" s="401">
        <v>2019</v>
      </c>
      <c r="G5" s="402">
        <v>2020</v>
      </c>
      <c r="H5" s="403">
        <v>2019</v>
      </c>
      <c r="I5" s="404">
        <v>2020</v>
      </c>
      <c r="J5" s="403">
        <v>2019</v>
      </c>
      <c r="K5" s="405">
        <v>2020</v>
      </c>
      <c r="L5" s="406">
        <v>2019</v>
      </c>
      <c r="M5" s="403">
        <v>2019</v>
      </c>
      <c r="N5" s="403">
        <v>2019</v>
      </c>
      <c r="O5" s="404">
        <v>2020</v>
      </c>
      <c r="P5" s="404">
        <v>2020</v>
      </c>
      <c r="Q5" s="405">
        <v>2020</v>
      </c>
      <c r="R5" s="406">
        <v>2019</v>
      </c>
      <c r="S5" s="405">
        <v>2020</v>
      </c>
      <c r="T5" s="401">
        <v>2019</v>
      </c>
      <c r="U5" s="402">
        <v>2020</v>
      </c>
      <c r="V5" s="403">
        <v>2019</v>
      </c>
      <c r="W5" s="404">
        <v>2020</v>
      </c>
      <c r="X5" s="403">
        <v>2019</v>
      </c>
      <c r="Y5" s="405">
        <v>2020</v>
      </c>
      <c r="Z5" s="406">
        <v>2019</v>
      </c>
      <c r="AA5" s="403">
        <v>2019</v>
      </c>
      <c r="AB5" s="403">
        <v>2019</v>
      </c>
      <c r="AC5" s="404">
        <v>2020</v>
      </c>
      <c r="AD5" s="404">
        <v>2020</v>
      </c>
      <c r="AE5" s="405">
        <v>2020</v>
      </c>
      <c r="AF5" s="406">
        <v>2019</v>
      </c>
      <c r="AG5" s="336">
        <v>2020</v>
      </c>
    </row>
    <row r="6" spans="1:33" s="14" customFormat="1" ht="40.5" hidden="1" customHeight="1" thickTop="1">
      <c r="A6" s="34" t="s">
        <v>14</v>
      </c>
      <c r="B6" s="35" t="s">
        <v>15</v>
      </c>
      <c r="C6" s="35" t="s">
        <v>19</v>
      </c>
      <c r="D6" s="34" t="s">
        <v>20</v>
      </c>
      <c r="E6" s="34" t="s">
        <v>21</v>
      </c>
      <c r="F6" s="36" t="s">
        <v>22</v>
      </c>
      <c r="G6" s="36" t="s">
        <v>23</v>
      </c>
      <c r="H6" s="36" t="s">
        <v>24</v>
      </c>
      <c r="I6" s="36" t="s">
        <v>25</v>
      </c>
      <c r="J6" s="36" t="s">
        <v>26</v>
      </c>
      <c r="K6" s="36" t="s">
        <v>27</v>
      </c>
      <c r="L6" s="36" t="s">
        <v>28</v>
      </c>
      <c r="M6" s="36" t="s">
        <v>29</v>
      </c>
      <c r="N6" s="36" t="s">
        <v>30</v>
      </c>
      <c r="O6" s="36" t="s">
        <v>31</v>
      </c>
      <c r="P6" s="36" t="s">
        <v>32</v>
      </c>
      <c r="Q6" s="36" t="s">
        <v>33</v>
      </c>
      <c r="R6" s="36" t="s">
        <v>34</v>
      </c>
      <c r="S6" s="36" t="s">
        <v>35</v>
      </c>
      <c r="T6" s="36" t="s">
        <v>36</v>
      </c>
      <c r="U6" s="36" t="s">
        <v>37</v>
      </c>
      <c r="V6" s="36" t="s">
        <v>38</v>
      </c>
      <c r="W6" s="36" t="s">
        <v>39</v>
      </c>
      <c r="X6" s="36" t="s">
        <v>40</v>
      </c>
      <c r="Y6" s="36" t="s">
        <v>41</v>
      </c>
      <c r="Z6" s="36" t="s">
        <v>42</v>
      </c>
      <c r="AA6" s="36" t="s">
        <v>43</v>
      </c>
      <c r="AB6" s="36" t="s">
        <v>44</v>
      </c>
      <c r="AC6" s="36" t="s">
        <v>45</v>
      </c>
      <c r="AD6" s="36" t="s">
        <v>46</v>
      </c>
      <c r="AE6" s="36" t="s">
        <v>47</v>
      </c>
      <c r="AF6" s="36" t="s">
        <v>48</v>
      </c>
      <c r="AG6" s="293" t="s">
        <v>49</v>
      </c>
    </row>
    <row r="7" spans="1:33" s="14" customFormat="1" ht="13.9" customHeight="1" thickTop="1">
      <c r="A7" s="407" t="s">
        <v>50</v>
      </c>
      <c r="B7" s="408" t="s">
        <v>51</v>
      </c>
      <c r="C7" s="1"/>
      <c r="D7" s="409">
        <v>100858</v>
      </c>
      <c r="E7" s="409">
        <v>1</v>
      </c>
      <c r="F7" s="464">
        <f t="shared" ref="F7:F70" si="0">SUM(H7,J7,L7,M7,N7,R7)</f>
        <v>733944</v>
      </c>
      <c r="G7" s="465">
        <f t="shared" ref="G7:G70" si="1">SUM(I7,K7,O7,P7,Q7,S7)</f>
        <v>739203</v>
      </c>
      <c r="H7" s="466">
        <v>666491</v>
      </c>
      <c r="I7" s="467">
        <v>648751</v>
      </c>
      <c r="J7" s="466"/>
      <c r="K7" s="467"/>
      <c r="L7" s="466">
        <v>67453</v>
      </c>
      <c r="M7" s="466"/>
      <c r="N7" s="466"/>
      <c r="O7" s="467">
        <v>90452</v>
      </c>
      <c r="P7" s="467"/>
      <c r="Q7" s="467"/>
      <c r="R7" s="466"/>
      <c r="S7" s="467"/>
      <c r="T7" s="464">
        <f t="shared" ref="T7:T70" si="2">SUM(V7,X7,Z7,AA7,AB7,AF7)</f>
        <v>109527</v>
      </c>
      <c r="U7" s="465">
        <f t="shared" ref="U7:U70" si="3">SUM(W7,Y7,AC7,AD7,AE7,AG7)</f>
        <v>113362</v>
      </c>
      <c r="V7" s="466">
        <v>84611</v>
      </c>
      <c r="W7" s="467">
        <v>84915</v>
      </c>
      <c r="X7" s="466">
        <v>2883</v>
      </c>
      <c r="Y7" s="467">
        <v>2562</v>
      </c>
      <c r="Z7" s="466">
        <v>22033</v>
      </c>
      <c r="AA7" s="466"/>
      <c r="AB7" s="466"/>
      <c r="AC7" s="467">
        <v>25885</v>
      </c>
      <c r="AD7" s="467"/>
      <c r="AE7" s="467"/>
      <c r="AF7" s="466"/>
      <c r="AG7" s="467"/>
    </row>
    <row r="8" spans="1:33">
      <c r="A8" s="407" t="s">
        <v>50</v>
      </c>
      <c r="B8" s="408" t="s">
        <v>52</v>
      </c>
      <c r="C8" s="1"/>
      <c r="D8" s="409">
        <v>100751</v>
      </c>
      <c r="E8" s="409">
        <v>1</v>
      </c>
      <c r="F8" s="464">
        <f t="shared" si="0"/>
        <v>920491</v>
      </c>
      <c r="G8" s="465">
        <f t="shared" si="1"/>
        <v>888610</v>
      </c>
      <c r="H8" s="466">
        <v>778527</v>
      </c>
      <c r="I8" s="467">
        <v>544088</v>
      </c>
      <c r="J8" s="466">
        <v>23251</v>
      </c>
      <c r="K8" s="467">
        <v>15638</v>
      </c>
      <c r="L8" s="466">
        <v>117238</v>
      </c>
      <c r="M8" s="466">
        <v>1475</v>
      </c>
      <c r="N8" s="466"/>
      <c r="O8" s="467">
        <v>219966</v>
      </c>
      <c r="P8" s="467">
        <v>108918</v>
      </c>
      <c r="Q8" s="467"/>
      <c r="R8" s="466"/>
      <c r="S8" s="467"/>
      <c r="T8" s="464">
        <f t="shared" si="2"/>
        <v>99694</v>
      </c>
      <c r="U8" s="465">
        <f t="shared" si="3"/>
        <v>104483</v>
      </c>
      <c r="V8" s="466">
        <v>66672</v>
      </c>
      <c r="W8" s="467">
        <v>58333</v>
      </c>
      <c r="X8" s="466">
        <v>10499</v>
      </c>
      <c r="Y8" s="467">
        <v>8735</v>
      </c>
      <c r="Z8" s="466">
        <v>22106</v>
      </c>
      <c r="AA8" s="466">
        <v>417</v>
      </c>
      <c r="AB8" s="466"/>
      <c r="AC8" s="467">
        <v>30844</v>
      </c>
      <c r="AD8" s="467">
        <v>6571</v>
      </c>
      <c r="AE8" s="467"/>
      <c r="AF8" s="466"/>
      <c r="AG8" s="467"/>
    </row>
    <row r="9" spans="1:33">
      <c r="A9" s="407" t="s">
        <v>50</v>
      </c>
      <c r="B9" s="408" t="s">
        <v>53</v>
      </c>
      <c r="C9" s="410"/>
      <c r="D9" s="409">
        <v>100663</v>
      </c>
      <c r="E9" s="409">
        <v>1</v>
      </c>
      <c r="F9" s="464">
        <f t="shared" si="0"/>
        <v>319006</v>
      </c>
      <c r="G9" s="465">
        <f t="shared" si="1"/>
        <v>321593</v>
      </c>
      <c r="H9" s="466">
        <v>212012</v>
      </c>
      <c r="I9" s="467">
        <v>203878</v>
      </c>
      <c r="J9" s="466">
        <v>48</v>
      </c>
      <c r="K9" s="467">
        <v>83</v>
      </c>
      <c r="L9" s="466">
        <v>106946</v>
      </c>
      <c r="M9" s="466"/>
      <c r="N9" s="466"/>
      <c r="O9" s="467">
        <v>117620</v>
      </c>
      <c r="P9" s="467">
        <v>12</v>
      </c>
      <c r="Q9" s="467"/>
      <c r="R9" s="466"/>
      <c r="S9" s="467"/>
      <c r="T9" s="464">
        <f t="shared" si="2"/>
        <v>56545</v>
      </c>
      <c r="U9" s="465">
        <f t="shared" si="3"/>
        <v>55924</v>
      </c>
      <c r="V9" s="466">
        <v>31631</v>
      </c>
      <c r="W9" s="467">
        <v>28200</v>
      </c>
      <c r="X9" s="466"/>
      <c r="Y9" s="467"/>
      <c r="Z9" s="466">
        <v>24866</v>
      </c>
      <c r="AA9" s="466">
        <v>48</v>
      </c>
      <c r="AB9" s="466"/>
      <c r="AC9" s="467">
        <v>27697</v>
      </c>
      <c r="AD9" s="467">
        <v>27</v>
      </c>
      <c r="AE9" s="467"/>
      <c r="AF9" s="466"/>
      <c r="AG9" s="467"/>
    </row>
    <row r="10" spans="1:33">
      <c r="A10" s="407" t="s">
        <v>50</v>
      </c>
      <c r="B10" s="408" t="s">
        <v>54</v>
      </c>
      <c r="C10" s="411" t="s">
        <v>715</v>
      </c>
      <c r="D10" s="409">
        <v>100706</v>
      </c>
      <c r="E10" s="409">
        <v>2</v>
      </c>
      <c r="F10" s="464">
        <f t="shared" si="0"/>
        <v>216491</v>
      </c>
      <c r="G10" s="465">
        <f t="shared" si="1"/>
        <v>220554</v>
      </c>
      <c r="H10" s="466">
        <v>190806</v>
      </c>
      <c r="I10" s="467">
        <v>116460</v>
      </c>
      <c r="J10" s="466"/>
      <c r="K10" s="467"/>
      <c r="L10" s="466">
        <v>25685</v>
      </c>
      <c r="M10" s="466"/>
      <c r="N10" s="466"/>
      <c r="O10" s="467">
        <v>104094</v>
      </c>
      <c r="P10" s="467"/>
      <c r="Q10" s="467"/>
      <c r="R10" s="466"/>
      <c r="S10" s="467"/>
      <c r="T10" s="464">
        <f t="shared" si="2"/>
        <v>31260</v>
      </c>
      <c r="U10" s="465">
        <f t="shared" si="3"/>
        <v>30156</v>
      </c>
      <c r="V10" s="466">
        <v>20522</v>
      </c>
      <c r="W10" s="467">
        <v>13992</v>
      </c>
      <c r="X10" s="466"/>
      <c r="Y10" s="467"/>
      <c r="Z10" s="466">
        <v>10738</v>
      </c>
      <c r="AA10" s="466"/>
      <c r="AB10" s="466"/>
      <c r="AC10" s="467">
        <v>16164</v>
      </c>
      <c r="AD10" s="467"/>
      <c r="AE10" s="467"/>
      <c r="AF10" s="466"/>
      <c r="AG10" s="467"/>
    </row>
    <row r="11" spans="1:33">
      <c r="A11" s="407" t="s">
        <v>50</v>
      </c>
      <c r="B11" s="408" t="s">
        <v>58</v>
      </c>
      <c r="C11" s="412"/>
      <c r="D11" s="409">
        <v>102094</v>
      </c>
      <c r="E11" s="409">
        <v>2</v>
      </c>
      <c r="F11" s="464">
        <f t="shared" si="0"/>
        <v>248309</v>
      </c>
      <c r="G11" s="465">
        <f t="shared" si="1"/>
        <v>231181</v>
      </c>
      <c r="H11" s="466">
        <v>205654</v>
      </c>
      <c r="I11" s="467">
        <v>182430</v>
      </c>
      <c r="J11" s="466">
        <v>434</v>
      </c>
      <c r="K11" s="467">
        <v>246</v>
      </c>
      <c r="L11" s="466">
        <v>42221</v>
      </c>
      <c r="M11" s="466"/>
      <c r="N11" s="466"/>
      <c r="O11" s="467">
        <v>48505</v>
      </c>
      <c r="P11" s="467"/>
      <c r="Q11" s="467"/>
      <c r="R11" s="466"/>
      <c r="S11" s="467"/>
      <c r="T11" s="464">
        <f t="shared" si="2"/>
        <v>17354</v>
      </c>
      <c r="U11" s="465">
        <f t="shared" si="3"/>
        <v>19964</v>
      </c>
      <c r="V11" s="466">
        <v>12177</v>
      </c>
      <c r="W11" s="467">
        <v>12602</v>
      </c>
      <c r="X11" s="466"/>
      <c r="Y11" s="467"/>
      <c r="Z11" s="466">
        <v>5177</v>
      </c>
      <c r="AA11" s="466"/>
      <c r="AB11" s="466"/>
      <c r="AC11" s="467">
        <v>7362</v>
      </c>
      <c r="AD11" s="467"/>
      <c r="AE11" s="467"/>
      <c r="AF11" s="466"/>
      <c r="AG11" s="467"/>
    </row>
    <row r="12" spans="1:33">
      <c r="A12" s="407" t="s">
        <v>50</v>
      </c>
      <c r="B12" s="408" t="s">
        <v>55</v>
      </c>
      <c r="C12" s="1"/>
      <c r="D12" s="409">
        <v>100654</v>
      </c>
      <c r="E12" s="409">
        <v>3</v>
      </c>
      <c r="F12" s="464">
        <f t="shared" si="0"/>
        <v>164444</v>
      </c>
      <c r="G12" s="465">
        <f t="shared" si="1"/>
        <v>150414</v>
      </c>
      <c r="H12" s="466">
        <v>149416</v>
      </c>
      <c r="I12" s="467">
        <v>88756</v>
      </c>
      <c r="J12" s="466">
        <v>230</v>
      </c>
      <c r="K12" s="467">
        <v>89</v>
      </c>
      <c r="L12" s="466">
        <v>14798</v>
      </c>
      <c r="M12" s="466"/>
      <c r="N12" s="466"/>
      <c r="O12" s="467">
        <v>61569</v>
      </c>
      <c r="P12" s="467"/>
      <c r="Q12" s="467"/>
      <c r="R12" s="466"/>
      <c r="S12" s="467"/>
      <c r="T12" s="464">
        <f t="shared" si="2"/>
        <v>19389</v>
      </c>
      <c r="U12" s="465">
        <f t="shared" si="3"/>
        <v>17926</v>
      </c>
      <c r="V12" s="466">
        <v>15646</v>
      </c>
      <c r="W12" s="467">
        <v>6967</v>
      </c>
      <c r="X12" s="466">
        <v>885</v>
      </c>
      <c r="Y12" s="467">
        <v>1393</v>
      </c>
      <c r="Z12" s="466">
        <v>2858</v>
      </c>
      <c r="AA12" s="466"/>
      <c r="AB12" s="466"/>
      <c r="AC12" s="467">
        <v>9566</v>
      </c>
      <c r="AD12" s="467"/>
      <c r="AE12" s="467"/>
      <c r="AF12" s="466"/>
      <c r="AG12" s="467"/>
    </row>
    <row r="13" spans="1:33">
      <c r="A13" s="407" t="s">
        <v>50</v>
      </c>
      <c r="B13" s="408" t="s">
        <v>56</v>
      </c>
      <c r="C13" s="1"/>
      <c r="D13" s="409">
        <v>101480</v>
      </c>
      <c r="E13" s="409">
        <v>3</v>
      </c>
      <c r="F13" s="464">
        <f t="shared" si="0"/>
        <v>198998</v>
      </c>
      <c r="G13" s="465">
        <f t="shared" si="1"/>
        <v>205277</v>
      </c>
      <c r="H13" s="466">
        <v>135581</v>
      </c>
      <c r="I13" s="467">
        <v>62503</v>
      </c>
      <c r="J13" s="466">
        <v>2456</v>
      </c>
      <c r="K13" s="467">
        <v>2397</v>
      </c>
      <c r="L13" s="466">
        <v>60949</v>
      </c>
      <c r="M13" s="466">
        <v>12</v>
      </c>
      <c r="N13" s="466"/>
      <c r="O13" s="467">
        <v>140377</v>
      </c>
      <c r="P13" s="467"/>
      <c r="Q13" s="467"/>
      <c r="R13" s="466"/>
      <c r="S13" s="467"/>
      <c r="T13" s="464">
        <f t="shared" si="2"/>
        <v>20208</v>
      </c>
      <c r="U13" s="465">
        <f t="shared" si="3"/>
        <v>24869</v>
      </c>
      <c r="V13" s="466">
        <v>6709</v>
      </c>
      <c r="W13" s="467">
        <v>1821</v>
      </c>
      <c r="X13" s="466"/>
      <c r="Y13" s="467">
        <v>0</v>
      </c>
      <c r="Z13" s="466">
        <v>13499</v>
      </c>
      <c r="AA13" s="466"/>
      <c r="AB13" s="466"/>
      <c r="AC13" s="467">
        <v>23048</v>
      </c>
      <c r="AD13" s="467"/>
      <c r="AE13" s="467"/>
      <c r="AF13" s="466"/>
      <c r="AG13" s="467"/>
    </row>
    <row r="14" spans="1:33">
      <c r="A14" s="407" t="s">
        <v>50</v>
      </c>
      <c r="B14" s="408" t="s">
        <v>57</v>
      </c>
      <c r="C14" s="1"/>
      <c r="D14" s="409">
        <v>102368</v>
      </c>
      <c r="E14" s="409">
        <v>3</v>
      </c>
      <c r="F14" s="464">
        <f t="shared" si="0"/>
        <v>288654</v>
      </c>
      <c r="G14" s="465">
        <f t="shared" si="1"/>
        <v>313997</v>
      </c>
      <c r="H14" s="466">
        <v>186423</v>
      </c>
      <c r="I14" s="467">
        <v>156059</v>
      </c>
      <c r="J14" s="466">
        <v>0</v>
      </c>
      <c r="K14" s="467">
        <v>2</v>
      </c>
      <c r="L14" s="466">
        <v>93437</v>
      </c>
      <c r="M14" s="466">
        <v>8794</v>
      </c>
      <c r="N14" s="466"/>
      <c r="O14" s="467">
        <v>149098</v>
      </c>
      <c r="P14" s="467">
        <v>0</v>
      </c>
      <c r="Q14" s="467">
        <v>8838</v>
      </c>
      <c r="R14" s="466"/>
      <c r="S14" s="467">
        <v>0</v>
      </c>
      <c r="T14" s="464">
        <f t="shared" si="2"/>
        <v>37811</v>
      </c>
      <c r="U14" s="465">
        <f t="shared" si="3"/>
        <v>53405</v>
      </c>
      <c r="V14" s="466">
        <v>13317</v>
      </c>
      <c r="W14" s="467">
        <v>11016</v>
      </c>
      <c r="X14" s="466"/>
      <c r="Y14" s="467">
        <v>0</v>
      </c>
      <c r="Z14" s="466">
        <v>22784</v>
      </c>
      <c r="AA14" s="466"/>
      <c r="AB14" s="466">
        <v>1710</v>
      </c>
      <c r="AC14" s="467">
        <v>41300</v>
      </c>
      <c r="AD14" s="467">
        <v>0</v>
      </c>
      <c r="AE14" s="467">
        <v>1089</v>
      </c>
      <c r="AF14" s="466"/>
      <c r="AG14" s="467">
        <v>0</v>
      </c>
    </row>
    <row r="15" spans="1:33">
      <c r="A15" s="407" t="s">
        <v>50</v>
      </c>
      <c r="B15" s="408" t="s">
        <v>61</v>
      </c>
      <c r="C15" s="410"/>
      <c r="D15" s="409">
        <v>101879</v>
      </c>
      <c r="E15" s="409">
        <v>3</v>
      </c>
      <c r="F15" s="464">
        <f t="shared" si="0"/>
        <v>162108</v>
      </c>
      <c r="G15" s="465">
        <f t="shared" si="1"/>
        <v>160804</v>
      </c>
      <c r="H15" s="466">
        <v>114377</v>
      </c>
      <c r="I15" s="467">
        <v>98108</v>
      </c>
      <c r="J15" s="466"/>
      <c r="K15" s="467"/>
      <c r="L15" s="466">
        <v>47731</v>
      </c>
      <c r="M15" s="466"/>
      <c r="N15" s="466"/>
      <c r="O15" s="467">
        <v>62696</v>
      </c>
      <c r="P15" s="467"/>
      <c r="Q15" s="467"/>
      <c r="R15" s="466"/>
      <c r="S15" s="467"/>
      <c r="T15" s="464">
        <f t="shared" si="2"/>
        <v>23044</v>
      </c>
      <c r="U15" s="465">
        <f t="shared" si="3"/>
        <v>30344</v>
      </c>
      <c r="V15" s="466">
        <v>3699</v>
      </c>
      <c r="W15" s="467">
        <v>3118</v>
      </c>
      <c r="X15" s="466"/>
      <c r="Y15" s="467"/>
      <c r="Z15" s="466">
        <v>19345</v>
      </c>
      <c r="AA15" s="466"/>
      <c r="AB15" s="466"/>
      <c r="AC15" s="467">
        <v>27226</v>
      </c>
      <c r="AD15" s="467"/>
      <c r="AE15" s="467"/>
      <c r="AF15" s="466"/>
      <c r="AG15" s="467"/>
    </row>
    <row r="16" spans="1:33">
      <c r="A16" s="407" t="s">
        <v>50</v>
      </c>
      <c r="B16" s="408" t="s">
        <v>59</v>
      </c>
      <c r="C16" s="1"/>
      <c r="D16" s="409">
        <v>100724</v>
      </c>
      <c r="E16" s="409">
        <v>4</v>
      </c>
      <c r="F16" s="464">
        <f t="shared" si="0"/>
        <v>112278</v>
      </c>
      <c r="G16" s="465">
        <f t="shared" si="1"/>
        <v>109486</v>
      </c>
      <c r="H16" s="466">
        <v>93348</v>
      </c>
      <c r="I16" s="467">
        <v>53196</v>
      </c>
      <c r="J16" s="466"/>
      <c r="K16" s="467"/>
      <c r="L16" s="466">
        <v>18930</v>
      </c>
      <c r="M16" s="466"/>
      <c r="N16" s="466"/>
      <c r="O16" s="467">
        <v>56290</v>
      </c>
      <c r="P16" s="467"/>
      <c r="Q16" s="467"/>
      <c r="R16" s="466"/>
      <c r="S16" s="467"/>
      <c r="T16" s="464">
        <f t="shared" si="2"/>
        <v>12035</v>
      </c>
      <c r="U16" s="465">
        <f t="shared" si="3"/>
        <v>12084</v>
      </c>
      <c r="V16" s="466">
        <v>9993</v>
      </c>
      <c r="W16" s="467">
        <v>6031</v>
      </c>
      <c r="X16" s="466"/>
      <c r="Y16" s="467"/>
      <c r="Z16" s="466">
        <v>2042</v>
      </c>
      <c r="AA16" s="466"/>
      <c r="AB16" s="466"/>
      <c r="AC16" s="467">
        <v>6053</v>
      </c>
      <c r="AD16" s="467"/>
      <c r="AE16" s="467"/>
      <c r="AF16" s="466"/>
      <c r="AG16" s="467"/>
    </row>
    <row r="17" spans="1:33">
      <c r="A17" s="407" t="s">
        <v>50</v>
      </c>
      <c r="B17" s="408" t="s">
        <v>60</v>
      </c>
      <c r="C17" s="410" t="s">
        <v>898</v>
      </c>
      <c r="D17" s="413">
        <v>100830</v>
      </c>
      <c r="E17" s="413">
        <v>3</v>
      </c>
      <c r="F17" s="464">
        <f t="shared" si="0"/>
        <v>117670</v>
      </c>
      <c r="G17" s="465">
        <f t="shared" si="1"/>
        <v>114790</v>
      </c>
      <c r="H17" s="466">
        <v>88208</v>
      </c>
      <c r="I17" s="467">
        <v>78377</v>
      </c>
      <c r="J17" s="466">
        <v>749</v>
      </c>
      <c r="K17" s="467">
        <v>312</v>
      </c>
      <c r="L17" s="466">
        <v>28713</v>
      </c>
      <c r="M17" s="466"/>
      <c r="N17" s="466"/>
      <c r="O17" s="467">
        <v>36101</v>
      </c>
      <c r="P17" s="467"/>
      <c r="Q17" s="467"/>
      <c r="R17" s="466"/>
      <c r="S17" s="467"/>
      <c r="T17" s="464">
        <f t="shared" si="2"/>
        <v>10996</v>
      </c>
      <c r="U17" s="465">
        <f t="shared" si="3"/>
        <v>13696</v>
      </c>
      <c r="V17" s="466">
        <v>4928</v>
      </c>
      <c r="W17" s="467">
        <v>4822</v>
      </c>
      <c r="X17" s="466">
        <v>87</v>
      </c>
      <c r="Y17" s="467">
        <v>0</v>
      </c>
      <c r="Z17" s="466">
        <v>5981</v>
      </c>
      <c r="AA17" s="466"/>
      <c r="AB17" s="466"/>
      <c r="AC17" s="467">
        <v>8874</v>
      </c>
      <c r="AD17" s="467"/>
      <c r="AE17" s="467"/>
      <c r="AF17" s="466"/>
      <c r="AG17" s="467"/>
    </row>
    <row r="18" spans="1:33">
      <c r="A18" s="407" t="s">
        <v>50</v>
      </c>
      <c r="B18" s="408" t="s">
        <v>62</v>
      </c>
      <c r="C18" s="1"/>
      <c r="D18" s="409">
        <v>101709</v>
      </c>
      <c r="E18" s="409">
        <v>5</v>
      </c>
      <c r="F18" s="464">
        <f t="shared" si="0"/>
        <v>61935</v>
      </c>
      <c r="G18" s="465">
        <f t="shared" si="1"/>
        <v>62260</v>
      </c>
      <c r="H18" s="466">
        <v>55743</v>
      </c>
      <c r="I18" s="467">
        <v>42965</v>
      </c>
      <c r="J18" s="466">
        <v>0</v>
      </c>
      <c r="K18" s="467">
        <v>6</v>
      </c>
      <c r="L18" s="466">
        <v>6192</v>
      </c>
      <c r="M18" s="466"/>
      <c r="N18" s="466"/>
      <c r="O18" s="467">
        <v>19289</v>
      </c>
      <c r="P18" s="467"/>
      <c r="Q18" s="467"/>
      <c r="R18" s="466"/>
      <c r="S18" s="467"/>
      <c r="T18" s="464">
        <f t="shared" si="2"/>
        <v>5966</v>
      </c>
      <c r="U18" s="465">
        <f t="shared" si="3"/>
        <v>6659</v>
      </c>
      <c r="V18" s="466">
        <v>4119</v>
      </c>
      <c r="W18" s="467">
        <v>3873</v>
      </c>
      <c r="X18" s="466">
        <v>628</v>
      </c>
      <c r="Y18" s="467">
        <v>0</v>
      </c>
      <c r="Z18" s="466">
        <v>1219</v>
      </c>
      <c r="AA18" s="466"/>
      <c r="AB18" s="466"/>
      <c r="AC18" s="467">
        <v>2786</v>
      </c>
      <c r="AD18" s="467"/>
      <c r="AE18" s="467"/>
      <c r="AF18" s="466"/>
      <c r="AG18" s="467"/>
    </row>
    <row r="19" spans="1:33">
      <c r="A19" s="407" t="s">
        <v>50</v>
      </c>
      <c r="B19" s="408" t="s">
        <v>63</v>
      </c>
      <c r="C19" s="414" t="s">
        <v>899</v>
      </c>
      <c r="D19" s="409">
        <v>101587</v>
      </c>
      <c r="E19" s="415">
        <v>4</v>
      </c>
      <c r="F19" s="464">
        <f t="shared" si="0"/>
        <v>63456</v>
      </c>
      <c r="G19" s="465">
        <f t="shared" si="1"/>
        <v>63964</v>
      </c>
      <c r="H19" s="466">
        <v>41663</v>
      </c>
      <c r="I19" s="467">
        <v>34485</v>
      </c>
      <c r="J19" s="466">
        <v>243</v>
      </c>
      <c r="K19" s="467">
        <v>210</v>
      </c>
      <c r="L19" s="466">
        <v>21550</v>
      </c>
      <c r="M19" s="466"/>
      <c r="N19" s="466"/>
      <c r="O19" s="467">
        <v>29269</v>
      </c>
      <c r="P19" s="467"/>
      <c r="Q19" s="467"/>
      <c r="R19" s="466"/>
      <c r="S19" s="467"/>
      <c r="T19" s="464">
        <f t="shared" si="2"/>
        <v>65170</v>
      </c>
      <c r="U19" s="465">
        <f t="shared" si="3"/>
        <v>68129</v>
      </c>
      <c r="V19" s="466">
        <v>935</v>
      </c>
      <c r="W19" s="467">
        <v>722</v>
      </c>
      <c r="X19" s="466"/>
      <c r="Y19" s="467"/>
      <c r="Z19" s="466">
        <v>64235</v>
      </c>
      <c r="AA19" s="466"/>
      <c r="AB19" s="466"/>
      <c r="AC19" s="467">
        <v>67407</v>
      </c>
      <c r="AD19" s="467"/>
      <c r="AE19" s="467"/>
      <c r="AF19" s="466"/>
      <c r="AG19" s="467"/>
    </row>
    <row r="20" spans="1:33">
      <c r="A20" s="407" t="s">
        <v>50</v>
      </c>
      <c r="B20" s="408" t="s">
        <v>64</v>
      </c>
      <c r="C20" s="411" t="s">
        <v>908</v>
      </c>
      <c r="D20" s="416">
        <v>100812</v>
      </c>
      <c r="E20" s="409">
        <v>6</v>
      </c>
      <c r="F20" s="464">
        <f t="shared" si="0"/>
        <v>64093</v>
      </c>
      <c r="G20" s="465">
        <f t="shared" si="1"/>
        <v>65049</v>
      </c>
      <c r="H20" s="466">
        <v>9799</v>
      </c>
      <c r="I20" s="467">
        <v>7390</v>
      </c>
      <c r="J20" s="466">
        <v>1717</v>
      </c>
      <c r="K20" s="467">
        <v>1051</v>
      </c>
      <c r="L20" s="466">
        <v>52577</v>
      </c>
      <c r="M20" s="466"/>
      <c r="N20" s="466"/>
      <c r="O20" s="467">
        <v>56608</v>
      </c>
      <c r="P20" s="467"/>
      <c r="Q20" s="467"/>
      <c r="R20" s="466"/>
      <c r="S20" s="467"/>
      <c r="T20" s="464">
        <f t="shared" si="2"/>
        <v>2415</v>
      </c>
      <c r="U20" s="465">
        <f t="shared" si="3"/>
        <v>2982</v>
      </c>
      <c r="V20" s="466">
        <v>15</v>
      </c>
      <c r="W20" s="467">
        <v>63</v>
      </c>
      <c r="X20" s="466"/>
      <c r="Y20" s="467"/>
      <c r="Z20" s="466">
        <v>2400</v>
      </c>
      <c r="AA20" s="466"/>
      <c r="AB20" s="466"/>
      <c r="AC20" s="467">
        <v>2919</v>
      </c>
      <c r="AD20" s="467"/>
      <c r="AE20" s="467"/>
      <c r="AF20" s="466"/>
      <c r="AG20" s="467"/>
    </row>
    <row r="21" spans="1:33">
      <c r="A21" s="407" t="s">
        <v>50</v>
      </c>
      <c r="B21" s="417" t="s">
        <v>65</v>
      </c>
      <c r="C21" s="1"/>
      <c r="D21" s="409">
        <v>101505</v>
      </c>
      <c r="E21" s="409">
        <v>8</v>
      </c>
      <c r="F21" s="464">
        <f t="shared" si="0"/>
        <v>166336</v>
      </c>
      <c r="G21" s="465">
        <f t="shared" si="1"/>
        <v>161295</v>
      </c>
      <c r="H21" s="466">
        <v>94587</v>
      </c>
      <c r="I21" s="467">
        <v>54889</v>
      </c>
      <c r="J21" s="466">
        <v>12109</v>
      </c>
      <c r="K21" s="467"/>
      <c r="L21" s="466">
        <v>57920</v>
      </c>
      <c r="M21" s="466">
        <v>1094</v>
      </c>
      <c r="N21" s="466">
        <v>626</v>
      </c>
      <c r="O21" s="467">
        <v>105724</v>
      </c>
      <c r="P21" s="467"/>
      <c r="Q21" s="467">
        <v>682</v>
      </c>
      <c r="R21" s="466"/>
      <c r="S21" s="467"/>
      <c r="T21" s="464">
        <f t="shared" si="2"/>
        <v>0</v>
      </c>
      <c r="U21" s="465">
        <f t="shared" si="3"/>
        <v>0</v>
      </c>
      <c r="V21" s="466"/>
      <c r="W21" s="467"/>
      <c r="X21" s="466"/>
      <c r="Y21" s="467"/>
      <c r="Z21" s="466"/>
      <c r="AA21" s="466"/>
      <c r="AB21" s="466"/>
      <c r="AC21" s="467"/>
      <c r="AD21" s="467"/>
      <c r="AE21" s="467"/>
      <c r="AF21" s="466"/>
      <c r="AG21" s="467"/>
    </row>
    <row r="22" spans="1:33">
      <c r="A22" s="407" t="s">
        <v>50</v>
      </c>
      <c r="B22" s="417" t="s">
        <v>701</v>
      </c>
      <c r="C22" s="1"/>
      <c r="D22" s="409">
        <v>101514</v>
      </c>
      <c r="E22" s="409">
        <v>8</v>
      </c>
      <c r="F22" s="464">
        <f t="shared" si="0"/>
        <v>194864</v>
      </c>
      <c r="G22" s="465">
        <f t="shared" si="1"/>
        <v>176934</v>
      </c>
      <c r="H22" s="466">
        <v>124273</v>
      </c>
      <c r="I22" s="467">
        <v>79956</v>
      </c>
      <c r="J22" s="466"/>
      <c r="K22" s="467"/>
      <c r="L22" s="466">
        <v>70591</v>
      </c>
      <c r="M22" s="466"/>
      <c r="N22" s="466"/>
      <c r="O22" s="467">
        <v>96978</v>
      </c>
      <c r="P22" s="467"/>
      <c r="Q22" s="467"/>
      <c r="R22" s="466"/>
      <c r="S22" s="467"/>
      <c r="T22" s="464">
        <f t="shared" si="2"/>
        <v>0</v>
      </c>
      <c r="U22" s="465">
        <f t="shared" si="3"/>
        <v>0</v>
      </c>
      <c r="V22" s="466"/>
      <c r="W22" s="467"/>
      <c r="X22" s="466"/>
      <c r="Y22" s="467"/>
      <c r="Z22" s="466"/>
      <c r="AA22" s="466"/>
      <c r="AB22" s="466"/>
      <c r="AC22" s="467"/>
      <c r="AD22" s="467"/>
      <c r="AE22" s="467"/>
      <c r="AF22" s="466"/>
      <c r="AG22" s="467"/>
    </row>
    <row r="23" spans="1:33">
      <c r="A23" s="407" t="s">
        <v>50</v>
      </c>
      <c r="B23" s="408" t="s">
        <v>66</v>
      </c>
      <c r="C23" s="411" t="s">
        <v>909</v>
      </c>
      <c r="D23" s="409">
        <v>102429</v>
      </c>
      <c r="E23" s="409">
        <v>9</v>
      </c>
      <c r="F23" s="464">
        <f t="shared" si="0"/>
        <v>80435</v>
      </c>
      <c r="G23" s="465">
        <f t="shared" si="1"/>
        <v>70747</v>
      </c>
      <c r="H23" s="466">
        <v>49485</v>
      </c>
      <c r="I23" s="467">
        <v>33898</v>
      </c>
      <c r="J23" s="466">
        <v>5185</v>
      </c>
      <c r="K23" s="467">
        <v>2868</v>
      </c>
      <c r="L23" s="466">
        <v>22659</v>
      </c>
      <c r="M23" s="466">
        <v>3106</v>
      </c>
      <c r="N23" s="466"/>
      <c r="O23" s="467">
        <v>31891</v>
      </c>
      <c r="P23" s="467">
        <v>2090</v>
      </c>
      <c r="Q23" s="467"/>
      <c r="R23" s="466"/>
      <c r="S23" s="467"/>
      <c r="T23" s="464">
        <f t="shared" si="2"/>
        <v>0</v>
      </c>
      <c r="U23" s="465">
        <f t="shared" si="3"/>
        <v>0</v>
      </c>
      <c r="V23" s="466"/>
      <c r="W23" s="467"/>
      <c r="X23" s="466"/>
      <c r="Y23" s="467"/>
      <c r="Z23" s="466"/>
      <c r="AA23" s="466"/>
      <c r="AB23" s="466"/>
      <c r="AC23" s="467"/>
      <c r="AD23" s="467"/>
      <c r="AE23" s="467"/>
      <c r="AF23" s="466"/>
      <c r="AG23" s="467"/>
    </row>
    <row r="24" spans="1:33">
      <c r="A24" s="407" t="s">
        <v>50</v>
      </c>
      <c r="B24" s="419" t="s">
        <v>67</v>
      </c>
      <c r="C24" s="418"/>
      <c r="D24" s="409">
        <v>102030</v>
      </c>
      <c r="E24" s="409">
        <v>9</v>
      </c>
      <c r="F24" s="464">
        <f t="shared" si="0"/>
        <v>65158</v>
      </c>
      <c r="G24" s="465">
        <f t="shared" si="1"/>
        <v>54962</v>
      </c>
      <c r="H24" s="466">
        <v>51733</v>
      </c>
      <c r="I24" s="467">
        <v>30222</v>
      </c>
      <c r="J24" s="466">
        <v>177</v>
      </c>
      <c r="K24" s="467">
        <v>30</v>
      </c>
      <c r="L24" s="466">
        <v>4938</v>
      </c>
      <c r="M24" s="466"/>
      <c r="N24" s="466">
        <v>8310</v>
      </c>
      <c r="O24" s="467">
        <v>20271</v>
      </c>
      <c r="P24" s="467"/>
      <c r="Q24" s="467">
        <v>4439</v>
      </c>
      <c r="R24" s="466"/>
      <c r="S24" s="467"/>
      <c r="T24" s="464">
        <f t="shared" si="2"/>
        <v>0</v>
      </c>
      <c r="U24" s="465">
        <f t="shared" si="3"/>
        <v>0</v>
      </c>
      <c r="V24" s="466"/>
      <c r="W24" s="467"/>
      <c r="X24" s="466"/>
      <c r="Y24" s="467"/>
      <c r="Z24" s="466"/>
      <c r="AA24" s="466"/>
      <c r="AB24" s="466"/>
      <c r="AC24" s="467"/>
      <c r="AD24" s="467"/>
      <c r="AE24" s="467"/>
      <c r="AF24" s="466"/>
      <c r="AG24" s="467"/>
    </row>
    <row r="25" spans="1:33">
      <c r="A25" s="407" t="s">
        <v>50</v>
      </c>
      <c r="B25" s="419" t="s">
        <v>717</v>
      </c>
      <c r="C25" s="414" t="s">
        <v>900</v>
      </c>
      <c r="D25" s="407">
        <v>101161</v>
      </c>
      <c r="E25" s="415">
        <v>8</v>
      </c>
      <c r="F25" s="464">
        <f t="shared" si="0"/>
        <v>168831</v>
      </c>
      <c r="G25" s="465">
        <f t="shared" si="1"/>
        <v>155707</v>
      </c>
      <c r="H25" s="466">
        <v>56990</v>
      </c>
      <c r="I25" s="467">
        <v>62239</v>
      </c>
      <c r="J25" s="466">
        <v>52723</v>
      </c>
      <c r="K25" s="467">
        <v>20558</v>
      </c>
      <c r="L25" s="466">
        <v>58869</v>
      </c>
      <c r="M25" s="466">
        <v>249</v>
      </c>
      <c r="N25" s="466"/>
      <c r="O25" s="467">
        <v>72910</v>
      </c>
      <c r="P25" s="467"/>
      <c r="Q25" s="467"/>
      <c r="R25" s="466"/>
      <c r="S25" s="467"/>
      <c r="T25" s="464">
        <f t="shared" si="2"/>
        <v>0</v>
      </c>
      <c r="U25" s="465">
        <f t="shared" si="3"/>
        <v>0</v>
      </c>
      <c r="V25" s="466"/>
      <c r="W25" s="467"/>
      <c r="X25" s="466"/>
      <c r="Y25" s="467"/>
      <c r="Z25" s="466"/>
      <c r="AA25" s="466"/>
      <c r="AB25" s="466"/>
      <c r="AC25" s="467"/>
      <c r="AD25" s="467"/>
      <c r="AE25" s="467"/>
      <c r="AF25" s="466"/>
      <c r="AG25" s="467"/>
    </row>
    <row r="26" spans="1:33">
      <c r="A26" s="407" t="s">
        <v>50</v>
      </c>
      <c r="B26" s="408" t="s">
        <v>68</v>
      </c>
      <c r="C26" s="418"/>
      <c r="D26" s="409">
        <v>101240</v>
      </c>
      <c r="E26" s="409">
        <v>9</v>
      </c>
      <c r="F26" s="464">
        <f t="shared" si="0"/>
        <v>109083</v>
      </c>
      <c r="G26" s="465">
        <f t="shared" si="1"/>
        <v>97135</v>
      </c>
      <c r="H26" s="466">
        <v>75226</v>
      </c>
      <c r="I26" s="467">
        <v>52282</v>
      </c>
      <c r="J26" s="466"/>
      <c r="K26" s="467"/>
      <c r="L26" s="466">
        <v>33857</v>
      </c>
      <c r="M26" s="466"/>
      <c r="N26" s="466"/>
      <c r="O26" s="467">
        <v>44853</v>
      </c>
      <c r="P26" s="467"/>
      <c r="Q26" s="467"/>
      <c r="R26" s="466"/>
      <c r="S26" s="467"/>
      <c r="T26" s="464">
        <f t="shared" si="2"/>
        <v>0</v>
      </c>
      <c r="U26" s="465">
        <f t="shared" si="3"/>
        <v>0</v>
      </c>
      <c r="V26" s="466"/>
      <c r="W26" s="467"/>
      <c r="X26" s="466"/>
      <c r="Y26" s="467"/>
      <c r="Z26" s="466"/>
      <c r="AA26" s="466"/>
      <c r="AB26" s="466"/>
      <c r="AC26" s="467"/>
      <c r="AD26" s="467"/>
      <c r="AE26" s="467"/>
      <c r="AF26" s="466"/>
      <c r="AG26" s="467"/>
    </row>
    <row r="27" spans="1:33">
      <c r="A27" s="407" t="s">
        <v>50</v>
      </c>
      <c r="B27" s="417" t="s">
        <v>702</v>
      </c>
      <c r="C27" s="1"/>
      <c r="D27" s="409">
        <v>101286</v>
      </c>
      <c r="E27" s="409">
        <v>9</v>
      </c>
      <c r="F27" s="464">
        <f t="shared" si="0"/>
        <v>96830</v>
      </c>
      <c r="G27" s="465">
        <f t="shared" si="1"/>
        <v>86139</v>
      </c>
      <c r="H27" s="466">
        <v>64129</v>
      </c>
      <c r="I27" s="467">
        <v>48117</v>
      </c>
      <c r="J27" s="466">
        <v>6557</v>
      </c>
      <c r="K27" s="467">
        <v>3045</v>
      </c>
      <c r="L27" s="466">
        <v>26144</v>
      </c>
      <c r="M27" s="466"/>
      <c r="N27" s="466"/>
      <c r="O27" s="467">
        <v>34977</v>
      </c>
      <c r="P27" s="467"/>
      <c r="Q27" s="467"/>
      <c r="R27" s="466"/>
      <c r="S27" s="467"/>
      <c r="T27" s="464">
        <f t="shared" si="2"/>
        <v>0</v>
      </c>
      <c r="U27" s="465">
        <f t="shared" si="3"/>
        <v>0</v>
      </c>
      <c r="V27" s="466"/>
      <c r="W27" s="467"/>
      <c r="X27" s="466"/>
      <c r="Y27" s="467"/>
      <c r="Z27" s="466"/>
      <c r="AA27" s="466"/>
      <c r="AB27" s="466"/>
      <c r="AC27" s="467"/>
      <c r="AD27" s="467"/>
      <c r="AE27" s="467"/>
      <c r="AF27" s="466"/>
      <c r="AG27" s="467"/>
    </row>
    <row r="28" spans="1:33">
      <c r="A28" s="407" t="s">
        <v>50</v>
      </c>
      <c r="B28" s="417" t="s">
        <v>703</v>
      </c>
      <c r="C28" s="410"/>
      <c r="D28" s="409">
        <v>101295</v>
      </c>
      <c r="E28" s="409">
        <v>9</v>
      </c>
      <c r="F28" s="464">
        <f t="shared" si="0"/>
        <v>124962</v>
      </c>
      <c r="G28" s="465">
        <f t="shared" si="1"/>
        <v>119234</v>
      </c>
      <c r="H28" s="466">
        <v>88992</v>
      </c>
      <c r="I28" s="467">
        <v>80964</v>
      </c>
      <c r="J28" s="466"/>
      <c r="K28" s="467"/>
      <c r="L28" s="466">
        <v>35970</v>
      </c>
      <c r="M28" s="466"/>
      <c r="N28" s="466"/>
      <c r="O28" s="467">
        <v>38270</v>
      </c>
      <c r="P28" s="467"/>
      <c r="Q28" s="467"/>
      <c r="R28" s="466"/>
      <c r="S28" s="467"/>
      <c r="T28" s="464">
        <f t="shared" si="2"/>
        <v>0</v>
      </c>
      <c r="U28" s="465">
        <f t="shared" si="3"/>
        <v>0</v>
      </c>
      <c r="V28" s="466"/>
      <c r="W28" s="467"/>
      <c r="X28" s="466"/>
      <c r="Y28" s="467"/>
      <c r="Z28" s="466"/>
      <c r="AA28" s="466"/>
      <c r="AB28" s="466"/>
      <c r="AC28" s="467"/>
      <c r="AD28" s="467"/>
      <c r="AE28" s="467"/>
      <c r="AF28" s="466"/>
      <c r="AG28" s="467"/>
    </row>
    <row r="29" spans="1:33">
      <c r="A29" s="407" t="s">
        <v>50</v>
      </c>
      <c r="B29" s="408" t="s">
        <v>69</v>
      </c>
      <c r="C29" s="1"/>
      <c r="D29" s="409">
        <v>101569</v>
      </c>
      <c r="E29" s="409">
        <v>9</v>
      </c>
      <c r="F29" s="464">
        <f t="shared" si="0"/>
        <v>76316</v>
      </c>
      <c r="G29" s="465">
        <f t="shared" si="1"/>
        <v>68517</v>
      </c>
      <c r="H29" s="466">
        <v>63768</v>
      </c>
      <c r="I29" s="467">
        <v>30307</v>
      </c>
      <c r="J29" s="466">
        <v>1280</v>
      </c>
      <c r="K29" s="467">
        <v>740</v>
      </c>
      <c r="L29" s="466">
        <v>11268</v>
      </c>
      <c r="M29" s="466"/>
      <c r="N29" s="466"/>
      <c r="O29" s="467">
        <v>37470</v>
      </c>
      <c r="P29" s="467"/>
      <c r="Q29" s="467"/>
      <c r="R29" s="466"/>
      <c r="S29" s="467"/>
      <c r="T29" s="464">
        <f t="shared" si="2"/>
        <v>0</v>
      </c>
      <c r="U29" s="465">
        <f t="shared" si="3"/>
        <v>0</v>
      </c>
      <c r="V29" s="466"/>
      <c r="W29" s="467"/>
      <c r="X29" s="466"/>
      <c r="Y29" s="467"/>
      <c r="Z29" s="466"/>
      <c r="AA29" s="466"/>
      <c r="AB29" s="466"/>
      <c r="AC29" s="467"/>
      <c r="AD29" s="467"/>
      <c r="AE29" s="467"/>
      <c r="AF29" s="466"/>
      <c r="AG29" s="467"/>
    </row>
    <row r="30" spans="1:33">
      <c r="A30" s="407" t="s">
        <v>50</v>
      </c>
      <c r="B30" s="408" t="s">
        <v>70</v>
      </c>
      <c r="C30" s="1"/>
      <c r="D30" s="409">
        <v>101736</v>
      </c>
      <c r="E30" s="409">
        <v>9</v>
      </c>
      <c r="F30" s="464">
        <f t="shared" si="0"/>
        <v>66363</v>
      </c>
      <c r="G30" s="465">
        <f t="shared" si="1"/>
        <v>62327</v>
      </c>
      <c r="H30" s="466">
        <v>50394</v>
      </c>
      <c r="I30" s="467">
        <v>45059</v>
      </c>
      <c r="J30" s="466">
        <v>21</v>
      </c>
      <c r="K30" s="467"/>
      <c r="L30" s="466">
        <v>15809</v>
      </c>
      <c r="M30" s="466">
        <v>139</v>
      </c>
      <c r="N30" s="466"/>
      <c r="O30" s="467">
        <v>17268</v>
      </c>
      <c r="P30" s="467"/>
      <c r="Q30" s="467"/>
      <c r="R30" s="466"/>
      <c r="S30" s="467"/>
      <c r="T30" s="464">
        <f t="shared" si="2"/>
        <v>0</v>
      </c>
      <c r="U30" s="465">
        <f t="shared" si="3"/>
        <v>0</v>
      </c>
      <c r="V30" s="466"/>
      <c r="W30" s="467"/>
      <c r="X30" s="466"/>
      <c r="Y30" s="467"/>
      <c r="Z30" s="466"/>
      <c r="AA30" s="466"/>
      <c r="AB30" s="466"/>
      <c r="AC30" s="467"/>
      <c r="AD30" s="467"/>
      <c r="AE30" s="467"/>
      <c r="AF30" s="466"/>
      <c r="AG30" s="467"/>
    </row>
    <row r="31" spans="1:33">
      <c r="A31" s="407" t="s">
        <v>50</v>
      </c>
      <c r="B31" s="408" t="s">
        <v>71</v>
      </c>
      <c r="C31" s="1"/>
      <c r="D31" s="409">
        <v>102067</v>
      </c>
      <c r="E31" s="409">
        <v>9</v>
      </c>
      <c r="F31" s="464">
        <f t="shared" si="0"/>
        <v>102213</v>
      </c>
      <c r="G31" s="465">
        <f t="shared" si="1"/>
        <v>91902</v>
      </c>
      <c r="H31" s="466">
        <v>75398</v>
      </c>
      <c r="I31" s="467">
        <v>41063</v>
      </c>
      <c r="J31" s="466"/>
      <c r="K31" s="467"/>
      <c r="L31" s="466">
        <v>26815</v>
      </c>
      <c r="M31" s="466"/>
      <c r="N31" s="466"/>
      <c r="O31" s="467">
        <v>50839</v>
      </c>
      <c r="P31" s="467"/>
      <c r="Q31" s="467"/>
      <c r="R31" s="466"/>
      <c r="S31" s="467"/>
      <c r="T31" s="464">
        <f t="shared" si="2"/>
        <v>0</v>
      </c>
      <c r="U31" s="465">
        <f t="shared" si="3"/>
        <v>0</v>
      </c>
      <c r="V31" s="466"/>
      <c r="W31" s="467"/>
      <c r="X31" s="466"/>
      <c r="Y31" s="467"/>
      <c r="Z31" s="466"/>
      <c r="AA31" s="466"/>
      <c r="AB31" s="466"/>
      <c r="AC31" s="467"/>
      <c r="AD31" s="467"/>
      <c r="AE31" s="467"/>
      <c r="AF31" s="466"/>
      <c r="AG31" s="467"/>
    </row>
    <row r="32" spans="1:33">
      <c r="A32" s="407" t="s">
        <v>50</v>
      </c>
      <c r="B32" s="408" t="s">
        <v>72</v>
      </c>
      <c r="C32" s="1"/>
      <c r="D32" s="409">
        <v>251260</v>
      </c>
      <c r="E32" s="409">
        <v>9</v>
      </c>
      <c r="F32" s="464">
        <f t="shared" si="0"/>
        <v>112562</v>
      </c>
      <c r="G32" s="465">
        <f t="shared" si="1"/>
        <v>104065</v>
      </c>
      <c r="H32" s="466">
        <v>12881</v>
      </c>
      <c r="I32" s="467">
        <v>13957</v>
      </c>
      <c r="J32" s="466">
        <v>75163</v>
      </c>
      <c r="K32" s="467">
        <v>41628</v>
      </c>
      <c r="L32" s="466">
        <v>24518</v>
      </c>
      <c r="M32" s="466"/>
      <c r="N32" s="466"/>
      <c r="O32" s="467">
        <v>47918</v>
      </c>
      <c r="P32" s="467">
        <v>63</v>
      </c>
      <c r="Q32" s="467"/>
      <c r="R32" s="466"/>
      <c r="S32" s="467">
        <v>499</v>
      </c>
      <c r="T32" s="464">
        <f t="shared" si="2"/>
        <v>0</v>
      </c>
      <c r="U32" s="465">
        <f t="shared" si="3"/>
        <v>0</v>
      </c>
      <c r="V32" s="466"/>
      <c r="W32" s="467"/>
      <c r="X32" s="466"/>
      <c r="Y32" s="467"/>
      <c r="Z32" s="466"/>
      <c r="AA32" s="466"/>
      <c r="AB32" s="466"/>
      <c r="AC32" s="467"/>
      <c r="AD32" s="467"/>
      <c r="AE32" s="467"/>
      <c r="AF32" s="466"/>
      <c r="AG32" s="467"/>
    </row>
    <row r="33" spans="1:33">
      <c r="A33" s="407" t="s">
        <v>50</v>
      </c>
      <c r="B33" s="408" t="s">
        <v>73</v>
      </c>
      <c r="C33" s="418"/>
      <c r="D33" s="409">
        <v>100760</v>
      </c>
      <c r="E33" s="409">
        <v>10</v>
      </c>
      <c r="F33" s="464">
        <f t="shared" si="0"/>
        <v>34709</v>
      </c>
      <c r="G33" s="465">
        <f t="shared" si="1"/>
        <v>32016</v>
      </c>
      <c r="H33" s="466">
        <v>23021</v>
      </c>
      <c r="I33" s="467">
        <v>11305</v>
      </c>
      <c r="J33" s="466"/>
      <c r="K33" s="467"/>
      <c r="L33" s="466">
        <v>11688</v>
      </c>
      <c r="M33" s="466"/>
      <c r="N33" s="466"/>
      <c r="O33" s="467">
        <v>20711</v>
      </c>
      <c r="P33" s="467"/>
      <c r="Q33" s="467"/>
      <c r="R33" s="466"/>
      <c r="S33" s="467"/>
      <c r="T33" s="464">
        <f t="shared" si="2"/>
        <v>0</v>
      </c>
      <c r="U33" s="465">
        <f t="shared" si="3"/>
        <v>0</v>
      </c>
      <c r="V33" s="466"/>
      <c r="W33" s="467"/>
      <c r="X33" s="466"/>
      <c r="Y33" s="467"/>
      <c r="Z33" s="466"/>
      <c r="AA33" s="466"/>
      <c r="AB33" s="466"/>
      <c r="AC33" s="467"/>
      <c r="AD33" s="467"/>
      <c r="AE33" s="467"/>
      <c r="AF33" s="466"/>
      <c r="AG33" s="467"/>
    </row>
    <row r="34" spans="1:33">
      <c r="A34" s="407" t="s">
        <v>50</v>
      </c>
      <c r="B34" s="417" t="s">
        <v>704</v>
      </c>
      <c r="C34" s="1"/>
      <c r="D34" s="409">
        <v>101028</v>
      </c>
      <c r="E34" s="409">
        <v>10</v>
      </c>
      <c r="F34" s="464">
        <f t="shared" si="0"/>
        <v>39038</v>
      </c>
      <c r="G34" s="465">
        <f t="shared" si="1"/>
        <v>34657</v>
      </c>
      <c r="H34" s="466">
        <v>32324</v>
      </c>
      <c r="I34" s="467">
        <v>12781</v>
      </c>
      <c r="J34" s="466">
        <v>160</v>
      </c>
      <c r="K34" s="467">
        <v>4192</v>
      </c>
      <c r="L34" s="466">
        <v>6554</v>
      </c>
      <c r="M34" s="466"/>
      <c r="N34" s="466"/>
      <c r="O34" s="467">
        <v>17607</v>
      </c>
      <c r="P34" s="467"/>
      <c r="Q34" s="467"/>
      <c r="R34" s="466"/>
      <c r="S34" s="467">
        <v>77</v>
      </c>
      <c r="T34" s="464">
        <f t="shared" si="2"/>
        <v>0</v>
      </c>
      <c r="U34" s="465">
        <f t="shared" si="3"/>
        <v>0</v>
      </c>
      <c r="V34" s="466"/>
      <c r="W34" s="467"/>
      <c r="X34" s="466"/>
      <c r="Y34" s="467"/>
      <c r="Z34" s="466"/>
      <c r="AA34" s="466"/>
      <c r="AB34" s="466"/>
      <c r="AC34" s="467"/>
      <c r="AD34" s="467"/>
      <c r="AE34" s="467"/>
      <c r="AF34" s="466"/>
      <c r="AG34" s="467"/>
    </row>
    <row r="35" spans="1:33">
      <c r="A35" s="407" t="s">
        <v>50</v>
      </c>
      <c r="B35" s="420" t="s">
        <v>705</v>
      </c>
      <c r="C35" s="410"/>
      <c r="D35" s="409">
        <v>101143</v>
      </c>
      <c r="E35" s="409">
        <v>10</v>
      </c>
      <c r="F35" s="464">
        <f t="shared" si="0"/>
        <v>41515</v>
      </c>
      <c r="G35" s="465">
        <f t="shared" si="1"/>
        <v>41035</v>
      </c>
      <c r="H35" s="466">
        <v>30241</v>
      </c>
      <c r="I35" s="467">
        <v>22170</v>
      </c>
      <c r="J35" s="466">
        <v>50</v>
      </c>
      <c r="K35" s="467">
        <v>77</v>
      </c>
      <c r="L35" s="466">
        <v>11224</v>
      </c>
      <c r="M35" s="466"/>
      <c r="N35" s="466"/>
      <c r="O35" s="467">
        <v>18727</v>
      </c>
      <c r="P35" s="467"/>
      <c r="Q35" s="467">
        <v>61</v>
      </c>
      <c r="R35" s="466"/>
      <c r="S35" s="467"/>
      <c r="T35" s="464">
        <f t="shared" si="2"/>
        <v>0</v>
      </c>
      <c r="U35" s="465">
        <f t="shared" si="3"/>
        <v>0</v>
      </c>
      <c r="V35" s="466"/>
      <c r="W35" s="467"/>
      <c r="X35" s="466"/>
      <c r="Y35" s="467"/>
      <c r="Z35" s="466"/>
      <c r="AA35" s="466"/>
      <c r="AB35" s="466"/>
      <c r="AC35" s="467"/>
      <c r="AD35" s="467"/>
      <c r="AE35" s="467"/>
      <c r="AF35" s="466"/>
      <c r="AG35" s="467"/>
    </row>
    <row r="36" spans="1:33">
      <c r="A36" s="407" t="s">
        <v>50</v>
      </c>
      <c r="B36" s="408" t="s">
        <v>74</v>
      </c>
      <c r="C36" s="1"/>
      <c r="D36" s="409">
        <v>101301</v>
      </c>
      <c r="E36" s="409">
        <v>10</v>
      </c>
      <c r="F36" s="464">
        <f t="shared" si="0"/>
        <v>36616</v>
      </c>
      <c r="G36" s="465">
        <f t="shared" si="1"/>
        <v>31509</v>
      </c>
      <c r="H36" s="466">
        <v>23813</v>
      </c>
      <c r="I36" s="467">
        <v>14061</v>
      </c>
      <c r="J36" s="466"/>
      <c r="K36" s="467"/>
      <c r="L36" s="466">
        <v>12803</v>
      </c>
      <c r="M36" s="466"/>
      <c r="N36" s="466"/>
      <c r="O36" s="467">
        <v>17448</v>
      </c>
      <c r="P36" s="467"/>
      <c r="Q36" s="467"/>
      <c r="R36" s="466"/>
      <c r="S36" s="467"/>
      <c r="T36" s="464">
        <f t="shared" si="2"/>
        <v>0</v>
      </c>
      <c r="U36" s="465">
        <f t="shared" si="3"/>
        <v>0</v>
      </c>
      <c r="V36" s="466"/>
      <c r="W36" s="467"/>
      <c r="X36" s="466"/>
      <c r="Y36" s="467"/>
      <c r="Z36" s="466"/>
      <c r="AA36" s="466"/>
      <c r="AB36" s="466"/>
      <c r="AC36" s="467"/>
      <c r="AD36" s="467"/>
      <c r="AE36" s="467"/>
      <c r="AF36" s="466"/>
      <c r="AG36" s="467"/>
    </row>
    <row r="37" spans="1:33">
      <c r="A37" s="407" t="s">
        <v>50</v>
      </c>
      <c r="B37" s="408" t="s">
        <v>75</v>
      </c>
      <c r="C37" s="1"/>
      <c r="D37" s="409">
        <v>101602</v>
      </c>
      <c r="E37" s="409">
        <v>10</v>
      </c>
      <c r="F37" s="464">
        <f t="shared" si="0"/>
        <v>38795</v>
      </c>
      <c r="G37" s="465">
        <f t="shared" si="1"/>
        <v>37853</v>
      </c>
      <c r="H37" s="466">
        <v>23720</v>
      </c>
      <c r="I37" s="467">
        <v>18618</v>
      </c>
      <c r="J37" s="466">
        <v>1360</v>
      </c>
      <c r="K37" s="467">
        <v>963</v>
      </c>
      <c r="L37" s="466">
        <v>13715</v>
      </c>
      <c r="M37" s="466"/>
      <c r="N37" s="466"/>
      <c r="O37" s="467">
        <v>18272</v>
      </c>
      <c r="P37" s="467"/>
      <c r="Q37" s="467"/>
      <c r="R37" s="466"/>
      <c r="S37" s="467"/>
      <c r="T37" s="464">
        <f t="shared" si="2"/>
        <v>0</v>
      </c>
      <c r="U37" s="465">
        <f t="shared" si="3"/>
        <v>0</v>
      </c>
      <c r="V37" s="466"/>
      <c r="W37" s="467"/>
      <c r="X37" s="466"/>
      <c r="Y37" s="467"/>
      <c r="Z37" s="466"/>
      <c r="AA37" s="466"/>
      <c r="AB37" s="466"/>
      <c r="AC37" s="467"/>
      <c r="AD37" s="467"/>
      <c r="AE37" s="467"/>
      <c r="AF37" s="466"/>
      <c r="AG37" s="467"/>
    </row>
    <row r="38" spans="1:33">
      <c r="A38" s="407" t="s">
        <v>50</v>
      </c>
      <c r="B38" s="421" t="s">
        <v>706</v>
      </c>
      <c r="C38" s="337" t="s">
        <v>718</v>
      </c>
      <c r="D38" s="409">
        <v>101897</v>
      </c>
      <c r="E38" s="409">
        <v>10</v>
      </c>
      <c r="F38" s="464">
        <f t="shared" si="0"/>
        <v>61464</v>
      </c>
      <c r="G38" s="465">
        <f t="shared" si="1"/>
        <v>56491</v>
      </c>
      <c r="H38" s="466">
        <v>32121</v>
      </c>
      <c r="I38" s="467">
        <v>21613</v>
      </c>
      <c r="J38" s="466">
        <v>5760</v>
      </c>
      <c r="K38" s="467">
        <v>2459</v>
      </c>
      <c r="L38" s="466">
        <v>23583</v>
      </c>
      <c r="M38" s="466"/>
      <c r="N38" s="466"/>
      <c r="O38" s="467">
        <v>32419</v>
      </c>
      <c r="P38" s="467"/>
      <c r="Q38" s="467"/>
      <c r="R38" s="466"/>
      <c r="S38" s="467"/>
      <c r="T38" s="464">
        <f t="shared" si="2"/>
        <v>0</v>
      </c>
      <c r="U38" s="465">
        <f t="shared" si="3"/>
        <v>0</v>
      </c>
      <c r="V38" s="466"/>
      <c r="W38" s="467"/>
      <c r="X38" s="466"/>
      <c r="Y38" s="467"/>
      <c r="Z38" s="466"/>
      <c r="AA38" s="466"/>
      <c r="AB38" s="466"/>
      <c r="AC38" s="467"/>
      <c r="AD38" s="467"/>
      <c r="AE38" s="467"/>
      <c r="AF38" s="466"/>
      <c r="AG38" s="467"/>
    </row>
    <row r="39" spans="1:33">
      <c r="A39" s="407" t="s">
        <v>50</v>
      </c>
      <c r="B39" s="408" t="s">
        <v>76</v>
      </c>
      <c r="C39" s="337" t="s">
        <v>718</v>
      </c>
      <c r="D39" s="409">
        <v>102076</v>
      </c>
      <c r="E39" s="409">
        <v>10</v>
      </c>
      <c r="F39" s="464">
        <f t="shared" si="0"/>
        <v>60177</v>
      </c>
      <c r="G39" s="465">
        <f t="shared" si="1"/>
        <v>56582</v>
      </c>
      <c r="H39" s="466">
        <v>23985</v>
      </c>
      <c r="I39" s="467">
        <v>18360</v>
      </c>
      <c r="J39" s="466"/>
      <c r="K39" s="467"/>
      <c r="L39" s="466">
        <v>36192</v>
      </c>
      <c r="M39" s="466"/>
      <c r="N39" s="466"/>
      <c r="O39" s="467">
        <v>38222</v>
      </c>
      <c r="P39" s="467"/>
      <c r="Q39" s="467"/>
      <c r="R39" s="466"/>
      <c r="S39" s="467"/>
      <c r="T39" s="464">
        <f t="shared" si="2"/>
        <v>0</v>
      </c>
      <c r="U39" s="465">
        <f t="shared" si="3"/>
        <v>0</v>
      </c>
      <c r="V39" s="466"/>
      <c r="W39" s="467"/>
      <c r="X39" s="466"/>
      <c r="Y39" s="467"/>
      <c r="Z39" s="466"/>
      <c r="AA39" s="466"/>
      <c r="AB39" s="466"/>
      <c r="AC39" s="467"/>
      <c r="AD39" s="467"/>
      <c r="AE39" s="467"/>
      <c r="AF39" s="466"/>
      <c r="AG39" s="467"/>
    </row>
    <row r="40" spans="1:33">
      <c r="A40" s="407" t="s">
        <v>50</v>
      </c>
      <c r="B40" s="417" t="s">
        <v>707</v>
      </c>
      <c r="C40" s="418"/>
      <c r="D40" s="409">
        <v>102313</v>
      </c>
      <c r="E40" s="409">
        <v>12</v>
      </c>
      <c r="F40" s="464">
        <f t="shared" si="0"/>
        <v>44337</v>
      </c>
      <c r="G40" s="465">
        <f t="shared" si="1"/>
        <v>40736</v>
      </c>
      <c r="H40" s="466">
        <v>36188</v>
      </c>
      <c r="I40" s="467">
        <v>17420</v>
      </c>
      <c r="J40" s="466">
        <v>1603</v>
      </c>
      <c r="K40" s="467">
        <v>1148</v>
      </c>
      <c r="L40" s="466">
        <v>6546</v>
      </c>
      <c r="M40" s="466"/>
      <c r="N40" s="466"/>
      <c r="O40" s="467">
        <v>22168</v>
      </c>
      <c r="P40" s="467"/>
      <c r="Q40" s="467"/>
      <c r="R40" s="466"/>
      <c r="S40" s="467"/>
      <c r="T40" s="464">
        <f t="shared" si="2"/>
        <v>0</v>
      </c>
      <c r="U40" s="465">
        <f t="shared" si="3"/>
        <v>0</v>
      </c>
      <c r="V40" s="466"/>
      <c r="W40" s="467"/>
      <c r="X40" s="466"/>
      <c r="Y40" s="467"/>
      <c r="Z40" s="466"/>
      <c r="AA40" s="466"/>
      <c r="AB40" s="466"/>
      <c r="AC40" s="467"/>
      <c r="AD40" s="467"/>
      <c r="AE40" s="467"/>
      <c r="AF40" s="466"/>
      <c r="AG40" s="467"/>
    </row>
    <row r="41" spans="1:33">
      <c r="A41" s="407" t="s">
        <v>50</v>
      </c>
      <c r="B41" s="417" t="s">
        <v>708</v>
      </c>
      <c r="C41" s="1"/>
      <c r="D41" s="409">
        <v>101462</v>
      </c>
      <c r="E41" s="409">
        <v>13</v>
      </c>
      <c r="F41" s="464">
        <f t="shared" si="0"/>
        <v>16002</v>
      </c>
      <c r="G41" s="465">
        <f t="shared" si="1"/>
        <v>16483</v>
      </c>
      <c r="H41" s="466">
        <v>10532</v>
      </c>
      <c r="I41" s="467">
        <v>11136</v>
      </c>
      <c r="J41" s="466">
        <v>73</v>
      </c>
      <c r="K41" s="467"/>
      <c r="L41" s="466">
        <v>5397</v>
      </c>
      <c r="M41" s="466"/>
      <c r="N41" s="466"/>
      <c r="O41" s="467">
        <v>5347</v>
      </c>
      <c r="P41" s="467"/>
      <c r="Q41" s="467"/>
      <c r="R41" s="466"/>
      <c r="S41" s="467"/>
      <c r="T41" s="464">
        <f t="shared" si="2"/>
        <v>0</v>
      </c>
      <c r="U41" s="465">
        <f t="shared" si="3"/>
        <v>0</v>
      </c>
      <c r="V41" s="466"/>
      <c r="W41" s="467"/>
      <c r="X41" s="466"/>
      <c r="Y41" s="467"/>
      <c r="Z41" s="466"/>
      <c r="AA41" s="466"/>
      <c r="AB41" s="466"/>
      <c r="AC41" s="467"/>
      <c r="AD41" s="467"/>
      <c r="AE41" s="467"/>
      <c r="AF41" s="466"/>
      <c r="AG41" s="467"/>
    </row>
    <row r="42" spans="1:33">
      <c r="A42" s="407" t="s">
        <v>50</v>
      </c>
      <c r="B42" s="408" t="s">
        <v>77</v>
      </c>
      <c r="C42" s="1"/>
      <c r="D42" s="409">
        <v>101471</v>
      </c>
      <c r="E42" s="409">
        <v>13</v>
      </c>
      <c r="F42" s="464">
        <f t="shared" si="0"/>
        <v>18353</v>
      </c>
      <c r="G42" s="465">
        <f t="shared" si="1"/>
        <v>11298</v>
      </c>
      <c r="H42" s="466">
        <v>18213</v>
      </c>
      <c r="I42" s="467">
        <v>5978</v>
      </c>
      <c r="J42" s="466">
        <v>140</v>
      </c>
      <c r="K42" s="467">
        <v>5320</v>
      </c>
      <c r="L42" s="466"/>
      <c r="M42" s="466"/>
      <c r="N42" s="466"/>
      <c r="O42" s="467"/>
      <c r="P42" s="467"/>
      <c r="Q42" s="467"/>
      <c r="R42" s="466"/>
      <c r="S42" s="467"/>
      <c r="T42" s="464">
        <f t="shared" si="2"/>
        <v>0</v>
      </c>
      <c r="U42" s="465">
        <f t="shared" si="3"/>
        <v>0</v>
      </c>
      <c r="V42" s="466"/>
      <c r="W42" s="467"/>
      <c r="X42" s="466"/>
      <c r="Y42" s="467"/>
      <c r="Z42" s="466"/>
      <c r="AA42" s="466"/>
      <c r="AB42" s="466"/>
      <c r="AC42" s="467"/>
      <c r="AD42" s="467"/>
      <c r="AE42" s="467"/>
      <c r="AF42" s="466"/>
      <c r="AG42" s="467"/>
    </row>
    <row r="43" spans="1:33">
      <c r="A43" s="407" t="s">
        <v>50</v>
      </c>
      <c r="B43" s="408" t="s">
        <v>78</v>
      </c>
      <c r="C43" s="1"/>
      <c r="D43" s="409">
        <v>101994</v>
      </c>
      <c r="E43" s="409">
        <v>13</v>
      </c>
      <c r="F43" s="464">
        <f t="shared" si="0"/>
        <v>10760</v>
      </c>
      <c r="G43" s="465">
        <f t="shared" si="1"/>
        <v>9397</v>
      </c>
      <c r="H43" s="466">
        <v>7950</v>
      </c>
      <c r="I43" s="467">
        <v>6922</v>
      </c>
      <c r="J43" s="466">
        <v>2810</v>
      </c>
      <c r="K43" s="467">
        <v>2078</v>
      </c>
      <c r="L43" s="466"/>
      <c r="M43" s="466"/>
      <c r="N43" s="466"/>
      <c r="O43" s="467">
        <v>397</v>
      </c>
      <c r="P43" s="467"/>
      <c r="Q43" s="467"/>
      <c r="R43" s="466"/>
      <c r="S43" s="467"/>
      <c r="T43" s="464">
        <f t="shared" si="2"/>
        <v>0</v>
      </c>
      <c r="U43" s="465">
        <f t="shared" si="3"/>
        <v>0</v>
      </c>
      <c r="V43" s="466"/>
      <c r="W43" s="467"/>
      <c r="X43" s="466"/>
      <c r="Y43" s="467"/>
      <c r="Z43" s="466"/>
      <c r="AA43" s="466"/>
      <c r="AB43" s="466"/>
      <c r="AC43" s="467"/>
      <c r="AD43" s="467"/>
      <c r="AE43" s="467"/>
      <c r="AF43" s="466"/>
      <c r="AG43" s="467"/>
    </row>
    <row r="44" spans="1:33">
      <c r="A44" s="407" t="s">
        <v>50</v>
      </c>
      <c r="B44" s="408" t="s">
        <v>79</v>
      </c>
      <c r="C44" s="1"/>
      <c r="D44" s="409">
        <v>101648</v>
      </c>
      <c r="E44" s="409">
        <v>15</v>
      </c>
      <c r="F44" s="464">
        <f t="shared" si="0"/>
        <v>12854</v>
      </c>
      <c r="G44" s="465">
        <f t="shared" si="1"/>
        <v>12708</v>
      </c>
      <c r="H44" s="466">
        <v>12405</v>
      </c>
      <c r="I44" s="467">
        <v>11896</v>
      </c>
      <c r="J44" s="466"/>
      <c r="K44" s="467"/>
      <c r="L44" s="466">
        <v>449</v>
      </c>
      <c r="M44" s="466"/>
      <c r="N44" s="466"/>
      <c r="O44" s="467">
        <v>812</v>
      </c>
      <c r="P44" s="467"/>
      <c r="Q44" s="467"/>
      <c r="R44" s="466"/>
      <c r="S44" s="467"/>
      <c r="T44" s="464">
        <f t="shared" si="2"/>
        <v>0</v>
      </c>
      <c r="U44" s="465">
        <f t="shared" si="3"/>
        <v>0</v>
      </c>
      <c r="V44" s="466"/>
      <c r="W44" s="467"/>
      <c r="X44" s="466"/>
      <c r="Y44" s="467"/>
      <c r="Z44" s="466"/>
      <c r="AA44" s="466"/>
      <c r="AB44" s="466"/>
      <c r="AC44" s="467"/>
      <c r="AD44" s="467"/>
      <c r="AE44" s="467"/>
      <c r="AF44" s="466"/>
      <c r="AG44" s="467"/>
    </row>
    <row r="45" spans="1:33" s="14" customFormat="1" ht="13.5" customHeight="1">
      <c r="A45" s="422" t="s">
        <v>80</v>
      </c>
      <c r="B45" s="341" t="s">
        <v>83</v>
      </c>
      <c r="C45" s="342"/>
      <c r="D45" s="343">
        <v>106458</v>
      </c>
      <c r="E45" s="343">
        <v>3</v>
      </c>
      <c r="F45" s="464">
        <f t="shared" si="0"/>
        <v>254704</v>
      </c>
      <c r="G45" s="465">
        <f t="shared" si="1"/>
        <v>245199</v>
      </c>
      <c r="H45" s="466">
        <v>162754</v>
      </c>
      <c r="I45" s="467">
        <v>153757</v>
      </c>
      <c r="J45" s="466">
        <v>14272</v>
      </c>
      <c r="K45" s="467">
        <v>10865</v>
      </c>
      <c r="L45" s="466">
        <v>76767</v>
      </c>
      <c r="M45" s="466">
        <v>911</v>
      </c>
      <c r="N45" s="466">
        <v>0</v>
      </c>
      <c r="O45" s="467">
        <v>79604</v>
      </c>
      <c r="P45" s="467">
        <v>973</v>
      </c>
      <c r="Q45" s="467"/>
      <c r="R45" s="466">
        <v>0</v>
      </c>
      <c r="S45" s="467"/>
      <c r="T45" s="464">
        <f t="shared" si="2"/>
        <v>102096</v>
      </c>
      <c r="U45" s="465">
        <f t="shared" si="3"/>
        <v>105992</v>
      </c>
      <c r="V45" s="466">
        <v>21707</v>
      </c>
      <c r="W45" s="467">
        <v>19766</v>
      </c>
      <c r="X45" s="466">
        <v>54</v>
      </c>
      <c r="Y45" s="467"/>
      <c r="Z45" s="466">
        <v>80335</v>
      </c>
      <c r="AA45" s="466">
        <v>0</v>
      </c>
      <c r="AB45" s="466">
        <v>0</v>
      </c>
      <c r="AC45" s="467">
        <v>86226</v>
      </c>
      <c r="AD45" s="467"/>
      <c r="AE45" s="467"/>
      <c r="AF45" s="466">
        <v>0</v>
      </c>
      <c r="AG45" s="467"/>
    </row>
    <row r="46" spans="1:33">
      <c r="A46" s="422" t="s">
        <v>80</v>
      </c>
      <c r="B46" s="341" t="s">
        <v>84</v>
      </c>
      <c r="C46" s="344"/>
      <c r="D46" s="343">
        <v>106467</v>
      </c>
      <c r="E46" s="343">
        <v>3</v>
      </c>
      <c r="F46" s="464">
        <f t="shared" si="0"/>
        <v>240784</v>
      </c>
      <c r="G46" s="465">
        <f t="shared" si="1"/>
        <v>240477</v>
      </c>
      <c r="H46" s="466">
        <v>153615</v>
      </c>
      <c r="I46" s="467">
        <v>149549</v>
      </c>
      <c r="J46" s="466">
        <v>19130</v>
      </c>
      <c r="K46" s="467">
        <v>18540</v>
      </c>
      <c r="L46" s="466">
        <v>65366</v>
      </c>
      <c r="M46" s="466">
        <v>0</v>
      </c>
      <c r="N46" s="466">
        <v>2673</v>
      </c>
      <c r="O46" s="467">
        <v>69674</v>
      </c>
      <c r="P46" s="467"/>
      <c r="Q46" s="467">
        <v>2714</v>
      </c>
      <c r="R46" s="466">
        <v>0</v>
      </c>
      <c r="S46" s="467"/>
      <c r="T46" s="464">
        <f t="shared" si="2"/>
        <v>14102</v>
      </c>
      <c r="U46" s="465">
        <f t="shared" si="3"/>
        <v>11892</v>
      </c>
      <c r="V46" s="466">
        <v>3656</v>
      </c>
      <c r="W46" s="467">
        <v>2481</v>
      </c>
      <c r="X46" s="466">
        <v>138</v>
      </c>
      <c r="Y46" s="467">
        <v>27</v>
      </c>
      <c r="Z46" s="466">
        <v>9864</v>
      </c>
      <c r="AA46" s="466">
        <v>0</v>
      </c>
      <c r="AB46" s="466">
        <v>444</v>
      </c>
      <c r="AC46" s="467">
        <v>8895</v>
      </c>
      <c r="AD46" s="467"/>
      <c r="AE46" s="467">
        <v>489</v>
      </c>
      <c r="AF46" s="466">
        <v>0</v>
      </c>
      <c r="AG46" s="467"/>
    </row>
    <row r="47" spans="1:33">
      <c r="A47" s="422" t="s">
        <v>80</v>
      </c>
      <c r="B47" s="341" t="s">
        <v>86</v>
      </c>
      <c r="C47" s="342"/>
      <c r="D47" s="343">
        <v>107071</v>
      </c>
      <c r="E47" s="343">
        <v>4</v>
      </c>
      <c r="F47" s="464">
        <f t="shared" si="0"/>
        <v>92003</v>
      </c>
      <c r="G47" s="465">
        <f t="shared" si="1"/>
        <v>91190</v>
      </c>
      <c r="H47" s="466">
        <v>68475</v>
      </c>
      <c r="I47" s="467">
        <v>48999</v>
      </c>
      <c r="J47" s="466">
        <v>5333</v>
      </c>
      <c r="K47" s="467">
        <v>5733</v>
      </c>
      <c r="L47" s="466">
        <v>18195</v>
      </c>
      <c r="M47" s="466">
        <v>0</v>
      </c>
      <c r="N47" s="466">
        <v>0</v>
      </c>
      <c r="O47" s="467">
        <v>36458</v>
      </c>
      <c r="P47" s="467"/>
      <c r="Q47" s="467"/>
      <c r="R47" s="466">
        <v>0</v>
      </c>
      <c r="S47" s="467"/>
      <c r="T47" s="464">
        <f t="shared" si="2"/>
        <v>9983</v>
      </c>
      <c r="U47" s="465">
        <f t="shared" si="3"/>
        <v>9789</v>
      </c>
      <c r="V47" s="466">
        <v>2364</v>
      </c>
      <c r="W47" s="467">
        <v>1086</v>
      </c>
      <c r="X47" s="466">
        <v>281</v>
      </c>
      <c r="Y47" s="467"/>
      <c r="Z47" s="466">
        <v>7338</v>
      </c>
      <c r="AA47" s="466">
        <v>0</v>
      </c>
      <c r="AB47" s="466">
        <v>0</v>
      </c>
      <c r="AC47" s="467">
        <v>8703</v>
      </c>
      <c r="AD47" s="467"/>
      <c r="AE47" s="467"/>
      <c r="AF47" s="466">
        <v>0</v>
      </c>
      <c r="AG47" s="467"/>
    </row>
    <row r="48" spans="1:33">
      <c r="A48" s="422" t="s">
        <v>80</v>
      </c>
      <c r="B48" s="341" t="s">
        <v>87</v>
      </c>
      <c r="C48" s="344"/>
      <c r="D48" s="343">
        <v>107983</v>
      </c>
      <c r="E48" s="343">
        <v>4</v>
      </c>
      <c r="F48" s="464">
        <f t="shared" si="0"/>
        <v>98051</v>
      </c>
      <c r="G48" s="465">
        <f t="shared" si="1"/>
        <v>98593</v>
      </c>
      <c r="H48" s="466">
        <v>75939</v>
      </c>
      <c r="I48" s="467">
        <v>71515</v>
      </c>
      <c r="J48" s="466">
        <v>1829</v>
      </c>
      <c r="K48" s="467">
        <v>1579</v>
      </c>
      <c r="L48" s="466">
        <v>20283</v>
      </c>
      <c r="M48" s="466">
        <v>0</v>
      </c>
      <c r="N48" s="466">
        <v>0</v>
      </c>
      <c r="O48" s="467">
        <v>25499</v>
      </c>
      <c r="P48" s="467"/>
      <c r="Q48" s="467"/>
      <c r="R48" s="466">
        <v>0</v>
      </c>
      <c r="S48" s="467"/>
      <c r="T48" s="464">
        <f t="shared" si="2"/>
        <v>15027</v>
      </c>
      <c r="U48" s="465">
        <f t="shared" si="3"/>
        <v>15069</v>
      </c>
      <c r="V48" s="466">
        <v>1782</v>
      </c>
      <c r="W48" s="467">
        <v>1269</v>
      </c>
      <c r="X48" s="466">
        <v>492</v>
      </c>
      <c r="Y48" s="467"/>
      <c r="Z48" s="466">
        <v>12753</v>
      </c>
      <c r="AA48" s="466">
        <v>0</v>
      </c>
      <c r="AB48" s="466">
        <v>0</v>
      </c>
      <c r="AC48" s="467">
        <v>13800</v>
      </c>
      <c r="AD48" s="467"/>
      <c r="AE48" s="467"/>
      <c r="AF48" s="466">
        <v>0</v>
      </c>
      <c r="AG48" s="467"/>
    </row>
    <row r="49" spans="1:33">
      <c r="A49" s="422" t="s">
        <v>80</v>
      </c>
      <c r="B49" s="341" t="s">
        <v>81</v>
      </c>
      <c r="C49" s="342"/>
      <c r="D49" s="343">
        <v>106397</v>
      </c>
      <c r="E49" s="343">
        <v>1</v>
      </c>
      <c r="F49" s="464">
        <f t="shared" si="0"/>
        <v>670354</v>
      </c>
      <c r="G49" s="465">
        <f t="shared" si="1"/>
        <v>657385</v>
      </c>
      <c r="H49" s="466">
        <v>593342</v>
      </c>
      <c r="I49" s="467">
        <v>564996</v>
      </c>
      <c r="J49" s="466">
        <v>9131</v>
      </c>
      <c r="K49" s="467">
        <v>4940</v>
      </c>
      <c r="L49" s="466">
        <v>64712</v>
      </c>
      <c r="M49" s="466">
        <v>520</v>
      </c>
      <c r="N49" s="466">
        <v>0</v>
      </c>
      <c r="O49" s="467">
        <v>84847</v>
      </c>
      <c r="P49" s="467">
        <v>352</v>
      </c>
      <c r="Q49" s="467"/>
      <c r="R49" s="466">
        <v>2649</v>
      </c>
      <c r="S49" s="467">
        <v>2250</v>
      </c>
      <c r="T49" s="464">
        <f t="shared" si="2"/>
        <v>76358</v>
      </c>
      <c r="U49" s="465">
        <f t="shared" si="3"/>
        <v>79052</v>
      </c>
      <c r="V49" s="466">
        <v>50823</v>
      </c>
      <c r="W49" s="467">
        <v>47068</v>
      </c>
      <c r="X49" s="466">
        <v>569</v>
      </c>
      <c r="Y49" s="467">
        <v>363</v>
      </c>
      <c r="Z49" s="466">
        <v>24930</v>
      </c>
      <c r="AA49" s="466">
        <v>36</v>
      </c>
      <c r="AB49" s="466">
        <v>0</v>
      </c>
      <c r="AC49" s="467">
        <v>31537</v>
      </c>
      <c r="AD49" s="467">
        <v>81</v>
      </c>
      <c r="AE49" s="467">
        <v>3</v>
      </c>
      <c r="AF49" s="466">
        <v>0</v>
      </c>
      <c r="AG49" s="467"/>
    </row>
    <row r="50" spans="1:33">
      <c r="A50" s="422" t="s">
        <v>80</v>
      </c>
      <c r="B50" s="341" t="s">
        <v>89</v>
      </c>
      <c r="C50" s="342"/>
      <c r="D50" s="343">
        <v>108092</v>
      </c>
      <c r="E50" s="343">
        <v>6</v>
      </c>
      <c r="F50" s="464">
        <f t="shared" si="0"/>
        <v>156537</v>
      </c>
      <c r="G50" s="465">
        <f t="shared" si="1"/>
        <v>148021</v>
      </c>
      <c r="H50" s="466">
        <v>97365</v>
      </c>
      <c r="I50" s="467">
        <v>85154</v>
      </c>
      <c r="J50" s="466">
        <v>15998</v>
      </c>
      <c r="K50" s="467">
        <v>15778</v>
      </c>
      <c r="L50" s="466">
        <v>43162</v>
      </c>
      <c r="M50" s="466">
        <v>12</v>
      </c>
      <c r="N50" s="466">
        <v>0</v>
      </c>
      <c r="O50" s="467">
        <v>47077</v>
      </c>
      <c r="P50" s="467">
        <v>12</v>
      </c>
      <c r="Q50" s="467"/>
      <c r="R50" s="466">
        <v>0</v>
      </c>
      <c r="S50" s="467"/>
      <c r="T50" s="464">
        <f t="shared" si="2"/>
        <v>464</v>
      </c>
      <c r="U50" s="465">
        <f t="shared" si="3"/>
        <v>582</v>
      </c>
      <c r="V50" s="466">
        <v>0</v>
      </c>
      <c r="W50" s="467">
        <v>0</v>
      </c>
      <c r="X50" s="466"/>
      <c r="Y50" s="467"/>
      <c r="Z50" s="466">
        <v>464</v>
      </c>
      <c r="AA50" s="466">
        <v>0</v>
      </c>
      <c r="AB50" s="466">
        <v>0</v>
      </c>
      <c r="AC50" s="467">
        <v>582</v>
      </c>
      <c r="AD50" s="467"/>
      <c r="AE50" s="467"/>
      <c r="AF50" s="466">
        <v>0</v>
      </c>
      <c r="AG50" s="467"/>
    </row>
    <row r="51" spans="1:33">
      <c r="A51" s="422" t="s">
        <v>80</v>
      </c>
      <c r="B51" s="341" t="s">
        <v>82</v>
      </c>
      <c r="C51" s="342"/>
      <c r="D51" s="343">
        <v>106245</v>
      </c>
      <c r="E51" s="343">
        <v>2</v>
      </c>
      <c r="F51" s="464">
        <f t="shared" si="0"/>
        <v>168675</v>
      </c>
      <c r="G51" s="465">
        <f t="shared" si="1"/>
        <v>170986</v>
      </c>
      <c r="H51" s="466">
        <v>95402</v>
      </c>
      <c r="I51" s="467">
        <v>80394</v>
      </c>
      <c r="J51" s="466">
        <v>2184</v>
      </c>
      <c r="K51" s="467">
        <v>13149</v>
      </c>
      <c r="L51" s="466">
        <v>71089</v>
      </c>
      <c r="M51" s="466">
        <v>0</v>
      </c>
      <c r="N51" s="466">
        <v>0</v>
      </c>
      <c r="O51" s="467">
        <v>77443</v>
      </c>
      <c r="P51" s="467"/>
      <c r="Q51" s="467"/>
      <c r="R51" s="466">
        <v>0</v>
      </c>
      <c r="S51" s="467"/>
      <c r="T51" s="464">
        <f t="shared" si="2"/>
        <v>41407</v>
      </c>
      <c r="U51" s="465">
        <f t="shared" si="3"/>
        <v>36529</v>
      </c>
      <c r="V51" s="466">
        <v>18279</v>
      </c>
      <c r="W51" s="467">
        <v>12170</v>
      </c>
      <c r="X51" s="466">
        <v>11250</v>
      </c>
      <c r="Y51" s="467">
        <v>12187</v>
      </c>
      <c r="Z51" s="466">
        <v>11878</v>
      </c>
      <c r="AA51" s="466">
        <v>0</v>
      </c>
      <c r="AB51" s="466">
        <v>0</v>
      </c>
      <c r="AC51" s="467">
        <v>12172</v>
      </c>
      <c r="AD51" s="467"/>
      <c r="AE51" s="467"/>
      <c r="AF51" s="466">
        <v>0</v>
      </c>
      <c r="AG51" s="467"/>
    </row>
    <row r="52" spans="1:33">
      <c r="A52" s="422" t="s">
        <v>80</v>
      </c>
      <c r="B52" s="341" t="s">
        <v>88</v>
      </c>
      <c r="C52" s="342"/>
      <c r="D52" s="343">
        <v>106485</v>
      </c>
      <c r="E52" s="343">
        <v>4</v>
      </c>
      <c r="F52" s="464">
        <f t="shared" si="0"/>
        <v>70020</v>
      </c>
      <c r="G52" s="465">
        <f t="shared" si="1"/>
        <v>64047</v>
      </c>
      <c r="H52" s="466">
        <v>43802</v>
      </c>
      <c r="I52" s="467">
        <v>37383</v>
      </c>
      <c r="J52" s="466">
        <v>11003</v>
      </c>
      <c r="K52" s="467">
        <v>26664</v>
      </c>
      <c r="L52" s="466">
        <v>15215</v>
      </c>
      <c r="M52" s="466">
        <v>0</v>
      </c>
      <c r="N52" s="466">
        <v>0</v>
      </c>
      <c r="O52" s="467">
        <v>0</v>
      </c>
      <c r="P52" s="467"/>
      <c r="Q52" s="467"/>
      <c r="R52" s="466">
        <v>0</v>
      </c>
      <c r="S52" s="467"/>
      <c r="T52" s="464">
        <f t="shared" si="2"/>
        <v>6579</v>
      </c>
      <c r="U52" s="465">
        <f t="shared" si="3"/>
        <v>6913</v>
      </c>
      <c r="V52" s="466">
        <v>1107</v>
      </c>
      <c r="W52" s="467">
        <v>836</v>
      </c>
      <c r="X52" s="466"/>
      <c r="Y52" s="467"/>
      <c r="Z52" s="466">
        <v>5472</v>
      </c>
      <c r="AA52" s="466">
        <v>0</v>
      </c>
      <c r="AB52" s="466">
        <v>0</v>
      </c>
      <c r="AC52" s="467">
        <v>6077</v>
      </c>
      <c r="AD52" s="467"/>
      <c r="AE52" s="467"/>
      <c r="AF52" s="466">
        <v>0</v>
      </c>
      <c r="AG52" s="467"/>
    </row>
    <row r="53" spans="1:33">
      <c r="A53" s="422" t="s">
        <v>80</v>
      </c>
      <c r="B53" s="341" t="s">
        <v>109</v>
      </c>
      <c r="C53" s="342"/>
      <c r="D53" s="343">
        <v>106263</v>
      </c>
      <c r="E53" s="343">
        <v>15</v>
      </c>
      <c r="F53" s="464">
        <f t="shared" si="0"/>
        <v>19976</v>
      </c>
      <c r="G53" s="465">
        <f t="shared" si="1"/>
        <v>19701</v>
      </c>
      <c r="H53" s="466">
        <v>11154</v>
      </c>
      <c r="I53" s="467">
        <v>11762</v>
      </c>
      <c r="J53" s="466">
        <v>3501</v>
      </c>
      <c r="K53" s="467">
        <v>236</v>
      </c>
      <c r="L53" s="466">
        <v>4246</v>
      </c>
      <c r="M53" s="466">
        <v>1075</v>
      </c>
      <c r="N53" s="466">
        <v>0</v>
      </c>
      <c r="O53" s="467">
        <v>4710</v>
      </c>
      <c r="P53" s="467">
        <v>2993</v>
      </c>
      <c r="Q53" s="467"/>
      <c r="R53" s="466">
        <v>0</v>
      </c>
      <c r="S53" s="467"/>
      <c r="T53" s="464">
        <f t="shared" si="2"/>
        <v>65678</v>
      </c>
      <c r="U53" s="465">
        <f t="shared" si="3"/>
        <v>63129</v>
      </c>
      <c r="V53" s="466">
        <v>54290</v>
      </c>
      <c r="W53" s="467">
        <v>43626</v>
      </c>
      <c r="X53" s="466">
        <v>3619</v>
      </c>
      <c r="Y53" s="467">
        <v>3973</v>
      </c>
      <c r="Z53" s="466">
        <v>7769</v>
      </c>
      <c r="AA53" s="466"/>
      <c r="AB53" s="466"/>
      <c r="AC53" s="467">
        <v>9040</v>
      </c>
      <c r="AD53" s="467">
        <v>6490</v>
      </c>
      <c r="AE53" s="467"/>
      <c r="AF53" s="466">
        <v>0</v>
      </c>
      <c r="AG53" s="467"/>
    </row>
    <row r="54" spans="1:33">
      <c r="A54" s="422" t="s">
        <v>80</v>
      </c>
      <c r="B54" s="341" t="s">
        <v>90</v>
      </c>
      <c r="C54" s="454" t="s">
        <v>911</v>
      </c>
      <c r="D54" s="343">
        <v>106412</v>
      </c>
      <c r="E54" s="343">
        <v>6</v>
      </c>
      <c r="F54" s="464">
        <f t="shared" si="0"/>
        <v>70595</v>
      </c>
      <c r="G54" s="465">
        <f t="shared" si="1"/>
        <v>66358</v>
      </c>
      <c r="H54" s="466">
        <v>56940</v>
      </c>
      <c r="I54" s="467">
        <v>50958</v>
      </c>
      <c r="J54" s="466">
        <v>50</v>
      </c>
      <c r="K54" s="467">
        <v>107</v>
      </c>
      <c r="L54" s="466">
        <v>13605</v>
      </c>
      <c r="M54" s="466">
        <v>0</v>
      </c>
      <c r="N54" s="466">
        <v>0</v>
      </c>
      <c r="O54" s="467">
        <v>15293</v>
      </c>
      <c r="P54" s="467"/>
      <c r="Q54" s="467"/>
      <c r="R54" s="466">
        <v>0</v>
      </c>
      <c r="S54" s="467"/>
      <c r="T54" s="464">
        <f t="shared" si="2"/>
        <v>1663</v>
      </c>
      <c r="U54" s="465">
        <f t="shared" si="3"/>
        <v>2010</v>
      </c>
      <c r="V54" s="466">
        <v>1282</v>
      </c>
      <c r="W54" s="467">
        <v>1158</v>
      </c>
      <c r="X54" s="466"/>
      <c r="Y54" s="467"/>
      <c r="Z54" s="466">
        <v>381</v>
      </c>
      <c r="AA54" s="466">
        <v>0</v>
      </c>
      <c r="AB54" s="466">
        <v>0</v>
      </c>
      <c r="AC54" s="467">
        <v>852</v>
      </c>
      <c r="AD54" s="467"/>
      <c r="AE54" s="467"/>
      <c r="AF54" s="466">
        <v>0</v>
      </c>
      <c r="AG54" s="467"/>
    </row>
    <row r="55" spans="1:33">
      <c r="A55" s="422" t="s">
        <v>80</v>
      </c>
      <c r="B55" s="341" t="s">
        <v>85</v>
      </c>
      <c r="C55" s="342"/>
      <c r="D55" s="343">
        <v>106704</v>
      </c>
      <c r="E55" s="343">
        <v>3</v>
      </c>
      <c r="F55" s="464">
        <f t="shared" si="0"/>
        <v>260689</v>
      </c>
      <c r="G55" s="465">
        <f t="shared" si="1"/>
        <v>252347</v>
      </c>
      <c r="H55" s="466">
        <v>225366</v>
      </c>
      <c r="I55" s="467">
        <v>196194</v>
      </c>
      <c r="J55" s="466">
        <v>4325</v>
      </c>
      <c r="K55" s="467">
        <v>4136</v>
      </c>
      <c r="L55" s="466">
        <v>30653</v>
      </c>
      <c r="M55" s="466">
        <v>303</v>
      </c>
      <c r="N55" s="466">
        <v>42</v>
      </c>
      <c r="O55" s="467">
        <v>47906</v>
      </c>
      <c r="P55" s="467">
        <v>1105</v>
      </c>
      <c r="Q55" s="467">
        <v>3006</v>
      </c>
      <c r="R55" s="466">
        <v>0</v>
      </c>
      <c r="S55" s="467"/>
      <c r="T55" s="464">
        <f t="shared" si="2"/>
        <v>36559</v>
      </c>
      <c r="U55" s="465">
        <f t="shared" si="3"/>
        <v>36739</v>
      </c>
      <c r="V55" s="466">
        <v>20314</v>
      </c>
      <c r="W55" s="467">
        <v>16029</v>
      </c>
      <c r="X55" s="466">
        <v>33</v>
      </c>
      <c r="Y55" s="467">
        <v>15</v>
      </c>
      <c r="Z55" s="466">
        <v>13690</v>
      </c>
      <c r="AA55" s="466">
        <v>2376</v>
      </c>
      <c r="AB55" s="466">
        <v>146</v>
      </c>
      <c r="AC55" s="467">
        <v>17514</v>
      </c>
      <c r="AD55" s="467">
        <v>2019</v>
      </c>
      <c r="AE55" s="467">
        <v>1162</v>
      </c>
      <c r="AF55" s="466">
        <v>0</v>
      </c>
      <c r="AG55" s="467"/>
    </row>
    <row r="56" spans="1:33">
      <c r="A56" s="422" t="s">
        <v>80</v>
      </c>
      <c r="B56" s="341" t="s">
        <v>94</v>
      </c>
      <c r="C56" s="342"/>
      <c r="D56" s="343">
        <v>107327</v>
      </c>
      <c r="E56" s="343">
        <v>10</v>
      </c>
      <c r="F56" s="464">
        <f t="shared" si="0"/>
        <v>26543</v>
      </c>
      <c r="G56" s="465">
        <f t="shared" si="1"/>
        <v>27031</v>
      </c>
      <c r="H56" s="466">
        <v>16023</v>
      </c>
      <c r="I56" s="467">
        <v>15595</v>
      </c>
      <c r="J56" s="466">
        <v>416</v>
      </c>
      <c r="K56" s="467">
        <v>63</v>
      </c>
      <c r="L56" s="466">
        <v>10104</v>
      </c>
      <c r="M56" s="466">
        <v>0</v>
      </c>
      <c r="N56" s="466">
        <v>0</v>
      </c>
      <c r="O56" s="467">
        <v>11373</v>
      </c>
      <c r="P56" s="467"/>
      <c r="Q56" s="467"/>
      <c r="R56" s="466">
        <v>0</v>
      </c>
      <c r="S56" s="467"/>
      <c r="T56" s="464">
        <f t="shared" si="2"/>
        <v>0</v>
      </c>
      <c r="U56" s="465">
        <f t="shared" si="3"/>
        <v>0</v>
      </c>
      <c r="V56" s="466"/>
      <c r="W56" s="467"/>
      <c r="X56" s="466"/>
      <c r="Y56" s="467"/>
      <c r="Z56" s="466"/>
      <c r="AA56" s="466"/>
      <c r="AB56" s="466"/>
      <c r="AC56" s="467"/>
      <c r="AD56" s="467"/>
      <c r="AE56" s="467"/>
      <c r="AF56" s="466"/>
      <c r="AG56" s="467"/>
    </row>
    <row r="57" spans="1:33">
      <c r="A57" s="422" t="s">
        <v>80</v>
      </c>
      <c r="B57" s="341" t="s">
        <v>92</v>
      </c>
      <c r="C57" s="342"/>
      <c r="D57" s="343">
        <v>106449</v>
      </c>
      <c r="E57" s="343">
        <v>9</v>
      </c>
      <c r="F57" s="464">
        <f t="shared" si="0"/>
        <v>75950</v>
      </c>
      <c r="G57" s="465">
        <f t="shared" si="1"/>
        <v>72387</v>
      </c>
      <c r="H57" s="466">
        <v>45457</v>
      </c>
      <c r="I57" s="467">
        <v>37125</v>
      </c>
      <c r="J57" s="466">
        <v>8769</v>
      </c>
      <c r="K57" s="467">
        <v>7470</v>
      </c>
      <c r="L57" s="466">
        <v>21586</v>
      </c>
      <c r="M57" s="466">
        <v>138</v>
      </c>
      <c r="N57" s="466">
        <v>0</v>
      </c>
      <c r="O57" s="467">
        <v>27686</v>
      </c>
      <c r="P57" s="467">
        <v>106</v>
      </c>
      <c r="Q57" s="467"/>
      <c r="R57" s="466">
        <v>0</v>
      </c>
      <c r="S57" s="467"/>
      <c r="T57" s="464">
        <f t="shared" si="2"/>
        <v>0</v>
      </c>
      <c r="U57" s="465">
        <f t="shared" si="3"/>
        <v>0</v>
      </c>
      <c r="V57" s="466"/>
      <c r="W57" s="467"/>
      <c r="X57" s="466"/>
      <c r="Y57" s="467"/>
      <c r="Z57" s="466"/>
      <c r="AA57" s="466"/>
      <c r="AB57" s="466"/>
      <c r="AC57" s="467"/>
      <c r="AD57" s="467"/>
      <c r="AE57" s="467"/>
      <c r="AF57" s="466"/>
      <c r="AG57" s="467"/>
    </row>
    <row r="58" spans="1:33">
      <c r="A58" s="422" t="s">
        <v>80</v>
      </c>
      <c r="B58" s="341" t="s">
        <v>96</v>
      </c>
      <c r="C58" s="342"/>
      <c r="D58" s="343">
        <v>420538</v>
      </c>
      <c r="E58" s="343">
        <v>10</v>
      </c>
      <c r="F58" s="464">
        <f t="shared" si="0"/>
        <v>29200</v>
      </c>
      <c r="G58" s="465">
        <f t="shared" si="1"/>
        <v>27281</v>
      </c>
      <c r="H58" s="466">
        <v>14702</v>
      </c>
      <c r="I58" s="467">
        <v>14495</v>
      </c>
      <c r="J58" s="466">
        <v>1990</v>
      </c>
      <c r="K58" s="467">
        <v>641</v>
      </c>
      <c r="L58" s="466">
        <v>12312</v>
      </c>
      <c r="M58" s="466">
        <v>196</v>
      </c>
      <c r="N58" s="466">
        <v>0</v>
      </c>
      <c r="O58" s="467">
        <v>11653</v>
      </c>
      <c r="P58" s="467">
        <v>255</v>
      </c>
      <c r="Q58" s="467">
        <v>237</v>
      </c>
      <c r="R58" s="466">
        <v>0</v>
      </c>
      <c r="S58" s="467"/>
      <c r="T58" s="464">
        <f t="shared" si="2"/>
        <v>0</v>
      </c>
      <c r="U58" s="465">
        <f t="shared" si="3"/>
        <v>0</v>
      </c>
      <c r="V58" s="466"/>
      <c r="W58" s="467"/>
      <c r="X58" s="466"/>
      <c r="Y58" s="467"/>
      <c r="Z58" s="466"/>
      <c r="AA58" s="466"/>
      <c r="AB58" s="466"/>
      <c r="AC58" s="467"/>
      <c r="AD58" s="467"/>
      <c r="AE58" s="467"/>
      <c r="AF58" s="466"/>
      <c r="AG58" s="467"/>
    </row>
    <row r="59" spans="1:33">
      <c r="A59" s="422" t="s">
        <v>80</v>
      </c>
      <c r="B59" s="345" t="s">
        <v>95</v>
      </c>
      <c r="C59" s="342"/>
      <c r="D59" s="343">
        <v>107318</v>
      </c>
      <c r="E59" s="343">
        <v>10</v>
      </c>
      <c r="F59" s="464">
        <f t="shared" si="0"/>
        <v>24634</v>
      </c>
      <c r="G59" s="465">
        <f t="shared" si="1"/>
        <v>22753</v>
      </c>
      <c r="H59" s="466">
        <v>18097</v>
      </c>
      <c r="I59" s="467">
        <v>15113</v>
      </c>
      <c r="J59" s="466">
        <v>36</v>
      </c>
      <c r="K59" s="467">
        <v>6</v>
      </c>
      <c r="L59" s="466">
        <v>6501</v>
      </c>
      <c r="M59" s="466">
        <v>0</v>
      </c>
      <c r="N59" s="466">
        <v>0</v>
      </c>
      <c r="O59" s="467">
        <v>7588</v>
      </c>
      <c r="P59" s="467">
        <v>30</v>
      </c>
      <c r="Q59" s="467">
        <v>16</v>
      </c>
      <c r="R59" s="466">
        <v>0</v>
      </c>
      <c r="S59" s="467"/>
      <c r="T59" s="464">
        <f t="shared" si="2"/>
        <v>0</v>
      </c>
      <c r="U59" s="465">
        <f t="shared" si="3"/>
        <v>0</v>
      </c>
      <c r="V59" s="466"/>
      <c r="W59" s="467"/>
      <c r="X59" s="466"/>
      <c r="Y59" s="467"/>
      <c r="Z59" s="466"/>
      <c r="AA59" s="466"/>
      <c r="AB59" s="466"/>
      <c r="AC59" s="467"/>
      <c r="AD59" s="467"/>
      <c r="AE59" s="467"/>
      <c r="AF59" s="466"/>
      <c r="AG59" s="467"/>
    </row>
    <row r="60" spans="1:33">
      <c r="A60" s="422" t="s">
        <v>80</v>
      </c>
      <c r="B60" s="341" t="s">
        <v>97</v>
      </c>
      <c r="C60" s="342"/>
      <c r="D60" s="343">
        <v>440402</v>
      </c>
      <c r="E60" s="343">
        <v>10</v>
      </c>
      <c r="F60" s="464">
        <f t="shared" si="0"/>
        <v>56930</v>
      </c>
      <c r="G60" s="465">
        <f t="shared" si="1"/>
        <v>54706</v>
      </c>
      <c r="H60" s="466">
        <v>26620</v>
      </c>
      <c r="I60" s="467">
        <v>24324</v>
      </c>
      <c r="J60" s="466">
        <v>4300</v>
      </c>
      <c r="K60" s="467">
        <v>5623</v>
      </c>
      <c r="L60" s="466">
        <v>26010</v>
      </c>
      <c r="M60" s="466">
        <v>0</v>
      </c>
      <c r="N60" s="466">
        <v>0</v>
      </c>
      <c r="O60" s="467">
        <v>24759</v>
      </c>
      <c r="P60" s="467"/>
      <c r="Q60" s="467"/>
      <c r="R60" s="466">
        <v>0</v>
      </c>
      <c r="S60" s="467"/>
      <c r="T60" s="464">
        <f t="shared" si="2"/>
        <v>0</v>
      </c>
      <c r="U60" s="465">
        <f t="shared" si="3"/>
        <v>0</v>
      </c>
      <c r="V60" s="466"/>
      <c r="W60" s="467"/>
      <c r="X60" s="466"/>
      <c r="Y60" s="467"/>
      <c r="Z60" s="466"/>
      <c r="AA60" s="466"/>
      <c r="AB60" s="466"/>
      <c r="AC60" s="467"/>
      <c r="AD60" s="467"/>
      <c r="AE60" s="467"/>
      <c r="AF60" s="466"/>
      <c r="AG60" s="467"/>
    </row>
    <row r="61" spans="1:33">
      <c r="A61" s="422" t="s">
        <v>80</v>
      </c>
      <c r="B61" s="341" t="s">
        <v>720</v>
      </c>
      <c r="C61" s="342" t="s">
        <v>721</v>
      </c>
      <c r="D61" s="343">
        <v>107521</v>
      </c>
      <c r="E61" s="343">
        <v>10</v>
      </c>
      <c r="F61" s="464">
        <f t="shared" si="0"/>
        <v>21506</v>
      </c>
      <c r="G61" s="465">
        <f t="shared" si="1"/>
        <v>20316</v>
      </c>
      <c r="H61" s="466">
        <v>14626</v>
      </c>
      <c r="I61" s="467">
        <v>13450</v>
      </c>
      <c r="J61" s="466">
        <v>4007</v>
      </c>
      <c r="K61" s="467">
        <v>2778</v>
      </c>
      <c r="L61" s="466">
        <v>2873</v>
      </c>
      <c r="M61" s="466">
        <v>0</v>
      </c>
      <c r="N61" s="466">
        <v>0</v>
      </c>
      <c r="O61" s="467">
        <v>4088</v>
      </c>
      <c r="P61" s="467"/>
      <c r="Q61" s="467"/>
      <c r="R61" s="466">
        <v>0</v>
      </c>
      <c r="S61" s="467"/>
      <c r="T61" s="464">
        <f t="shared" si="2"/>
        <v>0</v>
      </c>
      <c r="U61" s="465">
        <f t="shared" si="3"/>
        <v>0</v>
      </c>
      <c r="V61" s="466"/>
      <c r="W61" s="467"/>
      <c r="X61" s="466"/>
      <c r="Y61" s="467"/>
      <c r="Z61" s="466"/>
      <c r="AA61" s="466"/>
      <c r="AB61" s="466"/>
      <c r="AC61" s="467"/>
      <c r="AD61" s="467"/>
      <c r="AE61" s="467"/>
      <c r="AF61" s="466"/>
      <c r="AG61" s="467"/>
    </row>
    <row r="62" spans="1:33">
      <c r="A62" s="422" t="s">
        <v>80</v>
      </c>
      <c r="B62" s="341" t="s">
        <v>98</v>
      </c>
      <c r="C62" s="342"/>
      <c r="D62" s="343">
        <v>106625</v>
      </c>
      <c r="E62" s="343">
        <v>10</v>
      </c>
      <c r="F62" s="464">
        <f t="shared" si="0"/>
        <v>36727</v>
      </c>
      <c r="G62" s="465">
        <f t="shared" si="1"/>
        <v>33908</v>
      </c>
      <c r="H62" s="466">
        <v>22875</v>
      </c>
      <c r="I62" s="467">
        <v>17865</v>
      </c>
      <c r="J62" s="466">
        <v>1986</v>
      </c>
      <c r="K62" s="467">
        <v>2040</v>
      </c>
      <c r="L62" s="466">
        <v>10848</v>
      </c>
      <c r="M62" s="466">
        <v>1018</v>
      </c>
      <c r="N62" s="466">
        <v>0</v>
      </c>
      <c r="O62" s="467">
        <v>13084</v>
      </c>
      <c r="P62" s="467">
        <v>919</v>
      </c>
      <c r="Q62" s="467"/>
      <c r="R62" s="466">
        <v>0</v>
      </c>
      <c r="S62" s="467"/>
      <c r="T62" s="464">
        <f t="shared" si="2"/>
        <v>0</v>
      </c>
      <c r="U62" s="465">
        <f t="shared" si="3"/>
        <v>0</v>
      </c>
      <c r="V62" s="466"/>
      <c r="W62" s="467"/>
      <c r="X62" s="466"/>
      <c r="Y62" s="467"/>
      <c r="Z62" s="466"/>
      <c r="AA62" s="466"/>
      <c r="AB62" s="466"/>
      <c r="AC62" s="467"/>
      <c r="AD62" s="467"/>
      <c r="AE62" s="467"/>
      <c r="AF62" s="466"/>
      <c r="AG62" s="467"/>
    </row>
    <row r="63" spans="1:33">
      <c r="A63" s="422" t="s">
        <v>80</v>
      </c>
      <c r="B63" s="341" t="s">
        <v>99</v>
      </c>
      <c r="C63" s="342"/>
      <c r="D63" s="343">
        <v>106795</v>
      </c>
      <c r="E63" s="343">
        <v>10</v>
      </c>
      <c r="F63" s="464">
        <f t="shared" si="0"/>
        <v>27631</v>
      </c>
      <c r="G63" s="465">
        <f t="shared" si="1"/>
        <v>28978</v>
      </c>
      <c r="H63" s="466">
        <v>5959</v>
      </c>
      <c r="I63" s="467">
        <v>11081</v>
      </c>
      <c r="J63" s="466">
        <v>9744</v>
      </c>
      <c r="K63" s="467">
        <v>5628</v>
      </c>
      <c r="L63" s="466">
        <v>9479</v>
      </c>
      <c r="M63" s="466">
        <v>2449</v>
      </c>
      <c r="N63" s="466">
        <v>0</v>
      </c>
      <c r="O63" s="467">
        <v>10115</v>
      </c>
      <c r="P63" s="467">
        <v>1980</v>
      </c>
      <c r="Q63" s="467">
        <v>174</v>
      </c>
      <c r="R63" s="466">
        <v>0</v>
      </c>
      <c r="S63" s="467"/>
      <c r="T63" s="464">
        <f t="shared" si="2"/>
        <v>0</v>
      </c>
      <c r="U63" s="465">
        <f t="shared" si="3"/>
        <v>0</v>
      </c>
      <c r="V63" s="466"/>
      <c r="W63" s="467"/>
      <c r="X63" s="466"/>
      <c r="Y63" s="467"/>
      <c r="Z63" s="466"/>
      <c r="AA63" s="466"/>
      <c r="AB63" s="466"/>
      <c r="AC63" s="467"/>
      <c r="AD63" s="467"/>
      <c r="AE63" s="467"/>
      <c r="AF63" s="466"/>
      <c r="AG63" s="467"/>
    </row>
    <row r="64" spans="1:33">
      <c r="A64" s="343" t="s">
        <v>80</v>
      </c>
      <c r="B64" s="341" t="s">
        <v>100</v>
      </c>
      <c r="C64" s="342"/>
      <c r="D64" s="343">
        <v>106883</v>
      </c>
      <c r="E64" s="343">
        <v>10</v>
      </c>
      <c r="F64" s="464">
        <f t="shared" si="0"/>
        <v>22620</v>
      </c>
      <c r="G64" s="465">
        <f t="shared" si="1"/>
        <v>26274</v>
      </c>
      <c r="H64" s="466">
        <v>11394</v>
      </c>
      <c r="I64" s="467">
        <v>11032</v>
      </c>
      <c r="J64" s="466">
        <v>3707</v>
      </c>
      <c r="K64" s="467">
        <v>4861</v>
      </c>
      <c r="L64" s="466">
        <v>7519</v>
      </c>
      <c r="M64" s="466">
        <v>0</v>
      </c>
      <c r="N64" s="466">
        <v>0</v>
      </c>
      <c r="O64" s="467">
        <v>10381</v>
      </c>
      <c r="P64" s="467"/>
      <c r="Q64" s="467"/>
      <c r="R64" s="466">
        <v>0</v>
      </c>
      <c r="S64" s="467"/>
      <c r="T64" s="464">
        <f t="shared" si="2"/>
        <v>0</v>
      </c>
      <c r="U64" s="465">
        <f t="shared" si="3"/>
        <v>0</v>
      </c>
      <c r="V64" s="466"/>
      <c r="W64" s="467"/>
      <c r="X64" s="466"/>
      <c r="Y64" s="467"/>
      <c r="Z64" s="466"/>
      <c r="AA64" s="466"/>
      <c r="AB64" s="466"/>
      <c r="AC64" s="467"/>
      <c r="AD64" s="467"/>
      <c r="AE64" s="467"/>
      <c r="AF64" s="466"/>
      <c r="AG64" s="467"/>
    </row>
    <row r="65" spans="1:33">
      <c r="A65" s="422" t="s">
        <v>80</v>
      </c>
      <c r="B65" s="341" t="s">
        <v>101</v>
      </c>
      <c r="C65" s="342"/>
      <c r="D65" s="343">
        <v>107460</v>
      </c>
      <c r="E65" s="343">
        <v>10</v>
      </c>
      <c r="F65" s="464">
        <f t="shared" si="0"/>
        <v>38783</v>
      </c>
      <c r="G65" s="465">
        <f t="shared" si="1"/>
        <v>37304</v>
      </c>
      <c r="H65" s="466">
        <v>27168</v>
      </c>
      <c r="I65" s="467">
        <v>21052</v>
      </c>
      <c r="J65" s="466">
        <v>757</v>
      </c>
      <c r="K65" s="467">
        <v>2149</v>
      </c>
      <c r="L65" s="466">
        <v>10625</v>
      </c>
      <c r="M65" s="466">
        <v>233</v>
      </c>
      <c r="N65" s="466">
        <v>0</v>
      </c>
      <c r="O65" s="467">
        <v>13753</v>
      </c>
      <c r="P65" s="467">
        <v>350</v>
      </c>
      <c r="Q65" s="467"/>
      <c r="R65" s="466">
        <v>0</v>
      </c>
      <c r="S65" s="467"/>
      <c r="T65" s="464">
        <f t="shared" si="2"/>
        <v>0</v>
      </c>
      <c r="U65" s="465">
        <f t="shared" si="3"/>
        <v>0</v>
      </c>
      <c r="V65" s="466"/>
      <c r="W65" s="467"/>
      <c r="X65" s="466"/>
      <c r="Y65" s="467"/>
      <c r="Z65" s="466"/>
      <c r="AA65" s="466"/>
      <c r="AB65" s="466"/>
      <c r="AC65" s="467"/>
      <c r="AD65" s="467"/>
      <c r="AE65" s="467"/>
      <c r="AF65" s="466"/>
      <c r="AG65" s="467"/>
    </row>
    <row r="66" spans="1:33">
      <c r="A66" s="343" t="s">
        <v>80</v>
      </c>
      <c r="B66" s="345" t="s">
        <v>93</v>
      </c>
      <c r="C66" s="344"/>
      <c r="D66" s="343">
        <v>106980</v>
      </c>
      <c r="E66" s="343">
        <v>10</v>
      </c>
      <c r="F66" s="464">
        <f t="shared" si="0"/>
        <v>54992</v>
      </c>
      <c r="G66" s="465">
        <f t="shared" si="1"/>
        <v>55410</v>
      </c>
      <c r="H66" s="466">
        <v>36647</v>
      </c>
      <c r="I66" s="467">
        <v>29839</v>
      </c>
      <c r="J66" s="466">
        <v>4928</v>
      </c>
      <c r="K66" s="467">
        <v>4523</v>
      </c>
      <c r="L66" s="466">
        <v>13417</v>
      </c>
      <c r="M66" s="466">
        <v>0</v>
      </c>
      <c r="N66" s="466">
        <v>0</v>
      </c>
      <c r="O66" s="467">
        <v>21048</v>
      </c>
      <c r="P66" s="467"/>
      <c r="Q66" s="467"/>
      <c r="R66" s="466">
        <v>0</v>
      </c>
      <c r="S66" s="467"/>
      <c r="T66" s="464">
        <f t="shared" si="2"/>
        <v>0</v>
      </c>
      <c r="U66" s="465">
        <f t="shared" si="3"/>
        <v>0</v>
      </c>
      <c r="V66" s="466"/>
      <c r="W66" s="467"/>
      <c r="X66" s="466"/>
      <c r="Y66" s="467"/>
      <c r="Z66" s="466"/>
      <c r="AA66" s="466"/>
      <c r="AB66" s="466"/>
      <c r="AC66" s="467"/>
      <c r="AD66" s="467"/>
      <c r="AE66" s="467"/>
      <c r="AF66" s="466"/>
      <c r="AG66" s="467"/>
    </row>
    <row r="67" spans="1:33">
      <c r="A67" s="422" t="s">
        <v>80</v>
      </c>
      <c r="B67" s="341" t="s">
        <v>91</v>
      </c>
      <c r="C67" s="454" t="s">
        <v>910</v>
      </c>
      <c r="D67" s="343">
        <v>367459</v>
      </c>
      <c r="E67" s="343">
        <v>8</v>
      </c>
      <c r="F67" s="464">
        <f t="shared" si="0"/>
        <v>149512</v>
      </c>
      <c r="G67" s="465">
        <f t="shared" si="1"/>
        <v>151510</v>
      </c>
      <c r="H67" s="466">
        <v>89138</v>
      </c>
      <c r="I67" s="467">
        <v>79893</v>
      </c>
      <c r="J67" s="466">
        <v>14384</v>
      </c>
      <c r="K67" s="467">
        <v>18095</v>
      </c>
      <c r="L67" s="466">
        <v>45990</v>
      </c>
      <c r="M67" s="466">
        <v>0</v>
      </c>
      <c r="N67" s="466">
        <v>0</v>
      </c>
      <c r="O67" s="467">
        <v>53522</v>
      </c>
      <c r="P67" s="467"/>
      <c r="Q67" s="467"/>
      <c r="R67" s="466">
        <v>0</v>
      </c>
      <c r="S67" s="467"/>
      <c r="T67" s="464">
        <f t="shared" si="2"/>
        <v>0</v>
      </c>
      <c r="U67" s="465">
        <f t="shared" si="3"/>
        <v>0</v>
      </c>
      <c r="V67" s="466"/>
      <c r="W67" s="467"/>
      <c r="X67" s="466"/>
      <c r="Y67" s="467"/>
      <c r="Z67" s="466"/>
      <c r="AA67" s="466"/>
      <c r="AB67" s="466"/>
      <c r="AC67" s="467"/>
      <c r="AD67" s="467"/>
      <c r="AE67" s="467"/>
      <c r="AF67" s="466"/>
      <c r="AG67" s="467"/>
    </row>
    <row r="68" spans="1:33">
      <c r="A68" s="422" t="s">
        <v>80</v>
      </c>
      <c r="B68" s="341" t="s">
        <v>102</v>
      </c>
      <c r="C68" s="342"/>
      <c r="D68" s="343">
        <v>107549</v>
      </c>
      <c r="E68" s="343">
        <v>10</v>
      </c>
      <c r="F68" s="464">
        <f t="shared" si="0"/>
        <v>23629</v>
      </c>
      <c r="G68" s="465">
        <f t="shared" si="1"/>
        <v>23894</v>
      </c>
      <c r="H68" s="466">
        <v>10118</v>
      </c>
      <c r="I68" s="467">
        <v>9910</v>
      </c>
      <c r="J68" s="466">
        <v>2173</v>
      </c>
      <c r="K68" s="467">
        <v>1710</v>
      </c>
      <c r="L68" s="466">
        <v>11338</v>
      </c>
      <c r="M68" s="466">
        <v>0</v>
      </c>
      <c r="N68" s="466">
        <v>0</v>
      </c>
      <c r="O68" s="467">
        <v>12274</v>
      </c>
      <c r="P68" s="467"/>
      <c r="Q68" s="467"/>
      <c r="R68" s="466">
        <v>0</v>
      </c>
      <c r="S68" s="467"/>
      <c r="T68" s="464">
        <f t="shared" si="2"/>
        <v>0</v>
      </c>
      <c r="U68" s="465">
        <f t="shared" si="3"/>
        <v>0</v>
      </c>
      <c r="V68" s="466"/>
      <c r="W68" s="467"/>
      <c r="X68" s="466"/>
      <c r="Y68" s="467"/>
      <c r="Z68" s="466"/>
      <c r="AA68" s="466"/>
      <c r="AB68" s="466"/>
      <c r="AC68" s="467"/>
      <c r="AD68" s="467"/>
      <c r="AE68" s="467"/>
      <c r="AF68" s="466"/>
      <c r="AG68" s="467"/>
    </row>
    <row r="69" spans="1:33">
      <c r="A69" s="422" t="s">
        <v>80</v>
      </c>
      <c r="B69" s="341" t="s">
        <v>103</v>
      </c>
      <c r="C69" s="342"/>
      <c r="D69" s="343">
        <v>107619</v>
      </c>
      <c r="E69" s="343">
        <v>10</v>
      </c>
      <c r="F69" s="464">
        <f t="shared" si="0"/>
        <v>27464</v>
      </c>
      <c r="G69" s="465">
        <f t="shared" si="1"/>
        <v>27365</v>
      </c>
      <c r="H69" s="466">
        <v>16235</v>
      </c>
      <c r="I69" s="467">
        <v>14217</v>
      </c>
      <c r="J69" s="466">
        <v>5197</v>
      </c>
      <c r="K69" s="467">
        <v>5104</v>
      </c>
      <c r="L69" s="466">
        <v>3717</v>
      </c>
      <c r="M69" s="466">
        <v>2315</v>
      </c>
      <c r="N69" s="466">
        <v>0</v>
      </c>
      <c r="O69" s="467">
        <v>5585</v>
      </c>
      <c r="P69" s="467">
        <v>2459</v>
      </c>
      <c r="Q69" s="467"/>
      <c r="R69" s="466">
        <v>0</v>
      </c>
      <c r="S69" s="467"/>
      <c r="T69" s="464">
        <f t="shared" si="2"/>
        <v>0</v>
      </c>
      <c r="U69" s="465">
        <f t="shared" si="3"/>
        <v>0</v>
      </c>
      <c r="V69" s="466"/>
      <c r="W69" s="467"/>
      <c r="X69" s="466"/>
      <c r="Y69" s="467"/>
      <c r="Z69" s="466"/>
      <c r="AA69" s="466"/>
      <c r="AB69" s="466"/>
      <c r="AC69" s="467"/>
      <c r="AD69" s="467"/>
      <c r="AE69" s="467"/>
      <c r="AF69" s="466"/>
      <c r="AG69" s="467"/>
    </row>
    <row r="70" spans="1:33">
      <c r="A70" s="422" t="s">
        <v>80</v>
      </c>
      <c r="B70" s="341" t="s">
        <v>104</v>
      </c>
      <c r="C70" s="342"/>
      <c r="D70" s="343">
        <v>107974</v>
      </c>
      <c r="E70" s="343">
        <v>10</v>
      </c>
      <c r="F70" s="464">
        <f t="shared" si="0"/>
        <v>31419</v>
      </c>
      <c r="G70" s="465">
        <f t="shared" si="1"/>
        <v>30273</v>
      </c>
      <c r="H70" s="466">
        <v>15477</v>
      </c>
      <c r="I70" s="467">
        <v>14621</v>
      </c>
      <c r="J70" s="466">
        <v>5696</v>
      </c>
      <c r="K70" s="467">
        <v>5561</v>
      </c>
      <c r="L70" s="466">
        <v>10246</v>
      </c>
      <c r="M70" s="466">
        <v>0</v>
      </c>
      <c r="N70" s="466">
        <v>0</v>
      </c>
      <c r="O70" s="467">
        <v>10091</v>
      </c>
      <c r="P70" s="467"/>
      <c r="Q70" s="467"/>
      <c r="R70" s="466">
        <v>0</v>
      </c>
      <c r="S70" s="467"/>
      <c r="T70" s="464">
        <f t="shared" si="2"/>
        <v>0</v>
      </c>
      <c r="U70" s="465">
        <f t="shared" si="3"/>
        <v>0</v>
      </c>
      <c r="V70" s="466"/>
      <c r="W70" s="467"/>
      <c r="X70" s="466"/>
      <c r="Y70" s="467"/>
      <c r="Z70" s="466"/>
      <c r="AA70" s="466"/>
      <c r="AB70" s="466"/>
      <c r="AC70" s="467"/>
      <c r="AD70" s="467"/>
      <c r="AE70" s="467"/>
      <c r="AF70" s="466"/>
      <c r="AG70" s="467"/>
    </row>
    <row r="71" spans="1:33">
      <c r="A71" s="343" t="s">
        <v>80</v>
      </c>
      <c r="B71" s="341" t="s">
        <v>106</v>
      </c>
      <c r="C71" s="342"/>
      <c r="D71" s="343">
        <v>107992</v>
      </c>
      <c r="E71" s="343">
        <v>10</v>
      </c>
      <c r="F71" s="464">
        <f t="shared" ref="F71:F77" si="4">SUM(H71,J71,L71,M71,N71,R71)</f>
        <v>28429</v>
      </c>
      <c r="G71" s="465">
        <f t="shared" ref="G71:G77" si="5">SUM(I71,K71,O71,P71,Q71,S71)</f>
        <v>25409</v>
      </c>
      <c r="H71" s="466">
        <v>11278</v>
      </c>
      <c r="I71" s="467">
        <v>14991</v>
      </c>
      <c r="J71" s="466">
        <v>10363</v>
      </c>
      <c r="K71" s="467">
        <v>3486</v>
      </c>
      <c r="L71" s="466">
        <v>6788</v>
      </c>
      <c r="M71" s="466">
        <v>0</v>
      </c>
      <c r="N71" s="466">
        <v>0</v>
      </c>
      <c r="O71" s="467">
        <v>6932</v>
      </c>
      <c r="P71" s="467"/>
      <c r="Q71" s="467"/>
      <c r="R71" s="466">
        <v>0</v>
      </c>
      <c r="S71" s="467"/>
      <c r="T71" s="464">
        <f t="shared" ref="T71:T77" si="6">SUM(V71,X71,Z71,AA71,AB71,AF71)</f>
        <v>0</v>
      </c>
      <c r="U71" s="465">
        <f t="shared" ref="U71:U77" si="7">SUM(W71,Y71,AC71,AD71,AE71,AG71)</f>
        <v>0</v>
      </c>
      <c r="V71" s="466"/>
      <c r="W71" s="467"/>
      <c r="X71" s="466"/>
      <c r="Y71" s="467"/>
      <c r="Z71" s="466"/>
      <c r="AA71" s="466"/>
      <c r="AB71" s="466"/>
      <c r="AC71" s="467"/>
      <c r="AD71" s="467"/>
      <c r="AE71" s="467"/>
      <c r="AF71" s="466"/>
      <c r="AG71" s="467"/>
    </row>
    <row r="72" spans="1:33">
      <c r="A72" s="422" t="s">
        <v>80</v>
      </c>
      <c r="B72" s="341" t="s">
        <v>105</v>
      </c>
      <c r="C72" s="342"/>
      <c r="D72" s="343">
        <v>107637</v>
      </c>
      <c r="E72" s="343">
        <v>10</v>
      </c>
      <c r="F72" s="464">
        <f t="shared" si="4"/>
        <v>24902</v>
      </c>
      <c r="G72" s="465">
        <f t="shared" si="5"/>
        <v>26630</v>
      </c>
      <c r="H72" s="466">
        <v>18053</v>
      </c>
      <c r="I72" s="467">
        <v>16767</v>
      </c>
      <c r="J72" s="466">
        <v>1237</v>
      </c>
      <c r="K72" s="467">
        <v>1071</v>
      </c>
      <c r="L72" s="466">
        <v>5612</v>
      </c>
      <c r="M72" s="466">
        <v>0</v>
      </c>
      <c r="N72" s="466">
        <v>0</v>
      </c>
      <c r="O72" s="467">
        <v>8792</v>
      </c>
      <c r="P72" s="467"/>
      <c r="Q72" s="467"/>
      <c r="R72" s="466">
        <v>0</v>
      </c>
      <c r="S72" s="467"/>
      <c r="T72" s="464">
        <f t="shared" si="6"/>
        <v>0</v>
      </c>
      <c r="U72" s="465">
        <f t="shared" si="7"/>
        <v>0</v>
      </c>
      <c r="V72" s="466"/>
      <c r="W72" s="467"/>
      <c r="X72" s="466"/>
      <c r="Y72" s="467"/>
      <c r="Z72" s="466"/>
      <c r="AA72" s="466"/>
      <c r="AB72" s="466"/>
      <c r="AC72" s="467"/>
      <c r="AD72" s="467"/>
      <c r="AE72" s="467"/>
      <c r="AF72" s="466"/>
      <c r="AG72" s="467"/>
    </row>
    <row r="73" spans="1:33">
      <c r="A73" s="343" t="s">
        <v>80</v>
      </c>
      <c r="B73" s="341" t="s">
        <v>107</v>
      </c>
      <c r="C73" s="342"/>
      <c r="D73" s="343">
        <v>106999</v>
      </c>
      <c r="E73" s="343">
        <v>10</v>
      </c>
      <c r="F73" s="464">
        <f t="shared" si="4"/>
        <v>28645</v>
      </c>
      <c r="G73" s="465">
        <f t="shared" si="5"/>
        <v>29463</v>
      </c>
      <c r="H73" s="466">
        <v>18296</v>
      </c>
      <c r="I73" s="467">
        <v>19464</v>
      </c>
      <c r="J73" s="466">
        <v>1397</v>
      </c>
      <c r="K73" s="467">
        <v>1028</v>
      </c>
      <c r="L73" s="466">
        <v>8952</v>
      </c>
      <c r="M73" s="466">
        <v>0</v>
      </c>
      <c r="N73" s="466">
        <v>0</v>
      </c>
      <c r="O73" s="467">
        <v>8971</v>
      </c>
      <c r="P73" s="467"/>
      <c r="Q73" s="467"/>
      <c r="R73" s="466">
        <v>0</v>
      </c>
      <c r="S73" s="467"/>
      <c r="T73" s="464">
        <f t="shared" si="6"/>
        <v>0</v>
      </c>
      <c r="U73" s="465">
        <f t="shared" si="7"/>
        <v>0</v>
      </c>
      <c r="V73" s="466"/>
      <c r="W73" s="467"/>
      <c r="X73" s="466"/>
      <c r="Y73" s="467"/>
      <c r="Z73" s="466"/>
      <c r="AA73" s="466"/>
      <c r="AB73" s="466"/>
      <c r="AC73" s="467"/>
      <c r="AD73" s="467"/>
      <c r="AE73" s="467"/>
      <c r="AF73" s="466"/>
      <c r="AG73" s="467"/>
    </row>
    <row r="74" spans="1:33">
      <c r="A74" s="422" t="s">
        <v>80</v>
      </c>
      <c r="B74" s="341" t="s">
        <v>722</v>
      </c>
      <c r="C74" s="342"/>
      <c r="D74" s="343">
        <v>107725</v>
      </c>
      <c r="E74" s="343">
        <v>10</v>
      </c>
      <c r="F74" s="464">
        <f t="shared" si="4"/>
        <v>29434</v>
      </c>
      <c r="G74" s="465">
        <f t="shared" si="5"/>
        <v>28130</v>
      </c>
      <c r="H74" s="466">
        <v>13219</v>
      </c>
      <c r="I74" s="467">
        <v>14636</v>
      </c>
      <c r="J74" s="466">
        <v>8402</v>
      </c>
      <c r="K74" s="467">
        <v>5508</v>
      </c>
      <c r="L74" s="466">
        <v>5641</v>
      </c>
      <c r="M74" s="466">
        <v>2172</v>
      </c>
      <c r="N74" s="466">
        <v>0</v>
      </c>
      <c r="O74" s="467">
        <v>5880</v>
      </c>
      <c r="P74" s="467">
        <v>2106</v>
      </c>
      <c r="Q74" s="467"/>
      <c r="R74" s="466">
        <v>0</v>
      </c>
      <c r="S74" s="467"/>
      <c r="T74" s="464">
        <f t="shared" si="6"/>
        <v>0</v>
      </c>
      <c r="U74" s="465">
        <f t="shared" si="7"/>
        <v>0</v>
      </c>
      <c r="V74" s="466"/>
      <c r="W74" s="467"/>
      <c r="X74" s="466"/>
      <c r="Y74" s="467"/>
      <c r="Z74" s="466"/>
      <c r="AA74" s="466"/>
      <c r="AB74" s="466"/>
      <c r="AC74" s="467"/>
      <c r="AD74" s="467"/>
      <c r="AE74" s="467"/>
      <c r="AF74" s="466"/>
      <c r="AG74" s="467"/>
    </row>
    <row r="75" spans="1:33">
      <c r="A75" s="343" t="s">
        <v>80</v>
      </c>
      <c r="B75" s="341" t="s">
        <v>108</v>
      </c>
      <c r="C75" s="342"/>
      <c r="D75" s="343">
        <v>107585</v>
      </c>
      <c r="E75" s="343">
        <v>10</v>
      </c>
      <c r="F75" s="464">
        <f t="shared" si="4"/>
        <v>42425</v>
      </c>
      <c r="G75" s="465">
        <f t="shared" si="5"/>
        <v>40997</v>
      </c>
      <c r="H75" s="466">
        <v>35328</v>
      </c>
      <c r="I75" s="467">
        <v>31755</v>
      </c>
      <c r="J75" s="466">
        <v>87</v>
      </c>
      <c r="K75" s="467">
        <v>0</v>
      </c>
      <c r="L75" s="466">
        <v>7010</v>
      </c>
      <c r="M75" s="466">
        <v>0</v>
      </c>
      <c r="N75" s="466">
        <v>0</v>
      </c>
      <c r="O75" s="467">
        <v>9242</v>
      </c>
      <c r="P75" s="467"/>
      <c r="Q75" s="467"/>
      <c r="R75" s="466">
        <v>0</v>
      </c>
      <c r="S75" s="467"/>
      <c r="T75" s="464">
        <f t="shared" si="6"/>
        <v>0</v>
      </c>
      <c r="U75" s="465">
        <f t="shared" si="7"/>
        <v>0</v>
      </c>
      <c r="V75" s="466"/>
      <c r="W75" s="467"/>
      <c r="X75" s="466"/>
      <c r="Y75" s="467"/>
      <c r="Z75" s="466"/>
      <c r="AA75" s="466"/>
      <c r="AB75" s="466"/>
      <c r="AC75" s="467"/>
      <c r="AD75" s="467"/>
      <c r="AE75" s="467"/>
      <c r="AF75" s="466"/>
      <c r="AG75" s="467"/>
    </row>
    <row r="76" spans="1:33">
      <c r="A76" s="422" t="s">
        <v>80</v>
      </c>
      <c r="B76" s="341" t="s">
        <v>710</v>
      </c>
      <c r="C76" s="342"/>
      <c r="D76" s="343">
        <v>107743</v>
      </c>
      <c r="E76" s="343">
        <v>10</v>
      </c>
      <c r="F76" s="464">
        <f t="shared" si="4"/>
        <v>15657</v>
      </c>
      <c r="G76" s="465">
        <f t="shared" si="5"/>
        <v>16918</v>
      </c>
      <c r="H76" s="466">
        <v>9875</v>
      </c>
      <c r="I76" s="467">
        <v>9900</v>
      </c>
      <c r="J76" s="466">
        <v>2085</v>
      </c>
      <c r="K76" s="467">
        <v>2018</v>
      </c>
      <c r="L76" s="466">
        <v>3562</v>
      </c>
      <c r="M76" s="466">
        <v>135</v>
      </c>
      <c r="N76" s="466">
        <v>0</v>
      </c>
      <c r="O76" s="467">
        <v>4673</v>
      </c>
      <c r="P76" s="467">
        <v>327</v>
      </c>
      <c r="Q76" s="467"/>
      <c r="R76" s="466">
        <v>0</v>
      </c>
      <c r="S76" s="467"/>
      <c r="T76" s="464">
        <f t="shared" si="6"/>
        <v>0</v>
      </c>
      <c r="U76" s="465">
        <f t="shared" si="7"/>
        <v>0</v>
      </c>
      <c r="V76" s="466"/>
      <c r="W76" s="467"/>
      <c r="X76" s="466"/>
      <c r="Y76" s="467"/>
      <c r="Z76" s="466"/>
      <c r="AA76" s="466"/>
      <c r="AB76" s="466"/>
      <c r="AC76" s="467"/>
      <c r="AD76" s="467"/>
      <c r="AE76" s="467"/>
      <c r="AF76" s="466"/>
      <c r="AG76" s="467"/>
    </row>
    <row r="77" spans="1:33">
      <c r="A77" s="343" t="s">
        <v>80</v>
      </c>
      <c r="B77" s="341" t="s">
        <v>709</v>
      </c>
      <c r="C77" s="344"/>
      <c r="D77" s="343">
        <v>107664</v>
      </c>
      <c r="E77" s="343">
        <v>9</v>
      </c>
      <c r="F77" s="464">
        <f t="shared" si="4"/>
        <v>111297</v>
      </c>
      <c r="G77" s="465">
        <f t="shared" si="5"/>
        <v>117967</v>
      </c>
      <c r="H77" s="466">
        <v>71324</v>
      </c>
      <c r="I77" s="467">
        <v>72440</v>
      </c>
      <c r="J77" s="466">
        <v>2637</v>
      </c>
      <c r="K77" s="467">
        <v>2470</v>
      </c>
      <c r="L77" s="466">
        <v>37336</v>
      </c>
      <c r="M77" s="466">
        <v>0</v>
      </c>
      <c r="N77" s="466">
        <v>0</v>
      </c>
      <c r="O77" s="467">
        <v>43057</v>
      </c>
      <c r="P77" s="467"/>
      <c r="Q77" s="467"/>
      <c r="R77" s="466">
        <v>0</v>
      </c>
      <c r="S77" s="467"/>
      <c r="T77" s="464">
        <f t="shared" si="6"/>
        <v>0</v>
      </c>
      <c r="U77" s="465">
        <f t="shared" si="7"/>
        <v>0</v>
      </c>
      <c r="V77" s="466"/>
      <c r="W77" s="467"/>
      <c r="X77" s="466"/>
      <c r="Y77" s="467"/>
      <c r="Z77" s="466"/>
      <c r="AA77" s="466"/>
      <c r="AB77" s="466"/>
      <c r="AC77" s="467"/>
      <c r="AD77" s="467"/>
      <c r="AE77" s="467"/>
      <c r="AF77" s="466"/>
      <c r="AG77" s="467"/>
    </row>
    <row r="78" spans="1:33" s="14" customFormat="1" ht="13.5" customHeight="1">
      <c r="A78" s="346" t="s">
        <v>110</v>
      </c>
      <c r="B78" s="347" t="s">
        <v>111</v>
      </c>
      <c r="C78" s="348"/>
      <c r="D78" s="346">
        <v>130943</v>
      </c>
      <c r="E78" s="346">
        <v>1</v>
      </c>
      <c r="F78" s="464">
        <f>SUM(H78,J78,L78,M78,N78,R78)</f>
        <v>599291</v>
      </c>
      <c r="G78" s="465">
        <f>SUM(I78,K78,O78,P78,Q78,S78)</f>
        <v>600612</v>
      </c>
      <c r="H78" s="466">
        <v>574308</v>
      </c>
      <c r="I78" s="467">
        <v>294779</v>
      </c>
      <c r="J78" s="466"/>
      <c r="K78" s="467"/>
      <c r="L78" s="466">
        <v>24983</v>
      </c>
      <c r="M78" s="466">
        <v>0</v>
      </c>
      <c r="N78" s="466">
        <v>0</v>
      </c>
      <c r="O78" s="467">
        <v>305833</v>
      </c>
      <c r="P78" s="467">
        <v>0</v>
      </c>
      <c r="Q78" s="467">
        <v>0</v>
      </c>
      <c r="R78" s="466"/>
      <c r="S78" s="467"/>
      <c r="T78" s="464">
        <f>SUM(V78,X78,Z78,AA78,AB78,AF78)</f>
        <v>75200</v>
      </c>
      <c r="U78" s="465">
        <f>SUM(W78,Y78,AC78,AD78,AE78,AG78)</f>
        <v>74608</v>
      </c>
      <c r="V78" s="466">
        <v>64007</v>
      </c>
      <c r="W78" s="467">
        <v>37072</v>
      </c>
      <c r="X78" s="466"/>
      <c r="Y78" s="467"/>
      <c r="Z78" s="466">
        <v>11193</v>
      </c>
      <c r="AA78" s="466">
        <v>0</v>
      </c>
      <c r="AB78" s="466">
        <v>0</v>
      </c>
      <c r="AC78" s="467">
        <v>37536</v>
      </c>
      <c r="AD78" s="467">
        <v>0</v>
      </c>
      <c r="AE78" s="467">
        <v>0</v>
      </c>
      <c r="AF78" s="466"/>
      <c r="AG78" s="467"/>
    </row>
    <row r="79" spans="1:33">
      <c r="A79" s="423" t="s">
        <v>110</v>
      </c>
      <c r="B79" s="347" t="s">
        <v>112</v>
      </c>
      <c r="C79" s="349"/>
      <c r="D79" s="346">
        <v>130934</v>
      </c>
      <c r="E79" s="346">
        <v>3</v>
      </c>
      <c r="F79" s="464">
        <f>SUM(H79,J79,L79,M79,N79,R79)</f>
        <v>128111</v>
      </c>
      <c r="G79" s="465">
        <f>SUM(I79,K79,O79,P79,Q79,S79)</f>
        <v>131706</v>
      </c>
      <c r="H79" s="466">
        <v>112954</v>
      </c>
      <c r="I79" s="467">
        <v>104438</v>
      </c>
      <c r="J79" s="466"/>
      <c r="K79" s="467"/>
      <c r="L79" s="466">
        <v>15157</v>
      </c>
      <c r="M79" s="466">
        <v>0</v>
      </c>
      <c r="N79" s="466">
        <v>0</v>
      </c>
      <c r="O79" s="467">
        <v>27268</v>
      </c>
      <c r="P79" s="467">
        <v>0</v>
      </c>
      <c r="Q79" s="467">
        <v>0</v>
      </c>
      <c r="R79" s="466"/>
      <c r="S79" s="467"/>
      <c r="T79" s="464">
        <f>SUM(V79,X79,Z79,AA79,AB79,AF79)</f>
        <v>7243</v>
      </c>
      <c r="U79" s="465">
        <f>SUM(W79,Y79,AC79,AD79,AE79,AG79)</f>
        <v>9354</v>
      </c>
      <c r="V79" s="466">
        <v>4900</v>
      </c>
      <c r="W79" s="467">
        <v>5072</v>
      </c>
      <c r="X79" s="466"/>
      <c r="Y79" s="467"/>
      <c r="Z79" s="466">
        <v>2343</v>
      </c>
      <c r="AA79" s="466">
        <v>0</v>
      </c>
      <c r="AB79" s="466">
        <v>0</v>
      </c>
      <c r="AC79" s="467">
        <v>4282</v>
      </c>
      <c r="AD79" s="467">
        <v>0</v>
      </c>
      <c r="AE79" s="467">
        <v>0</v>
      </c>
      <c r="AF79" s="466"/>
      <c r="AG79" s="467"/>
    </row>
    <row r="80" spans="1:33">
      <c r="A80" s="423" t="s">
        <v>110</v>
      </c>
      <c r="B80" s="347" t="s">
        <v>113</v>
      </c>
      <c r="C80" s="348" t="s">
        <v>723</v>
      </c>
      <c r="D80" s="346">
        <v>130907</v>
      </c>
      <c r="E80" s="346">
        <v>9</v>
      </c>
      <c r="F80" s="464">
        <f>SUM(H80,J80,L80,M80,N80,R80)</f>
        <v>259787</v>
      </c>
      <c r="G80" s="465">
        <f>SUM(I80,K80,O80,P80,Q80,S80)</f>
        <v>240081</v>
      </c>
      <c r="H80" s="466">
        <v>204897</v>
      </c>
      <c r="I80" s="467">
        <v>178034</v>
      </c>
      <c r="J80" s="466"/>
      <c r="K80" s="467"/>
      <c r="L80" s="466">
        <v>53543</v>
      </c>
      <c r="M80" s="466">
        <v>865</v>
      </c>
      <c r="N80" s="466">
        <v>482</v>
      </c>
      <c r="O80" s="467">
        <v>59421</v>
      </c>
      <c r="P80" s="467">
        <v>979</v>
      </c>
      <c r="Q80" s="467">
        <v>1647</v>
      </c>
      <c r="R80" s="466"/>
      <c r="S80" s="467"/>
      <c r="T80" s="464">
        <f>SUM(V80,X80,Z80,AA80,AB80,AF80)</f>
        <v>0</v>
      </c>
      <c r="U80" s="465">
        <f>SUM(W80,Y80,AC80,AD80,AE80,AG80)</f>
        <v>0</v>
      </c>
      <c r="V80" s="466"/>
      <c r="W80" s="467"/>
      <c r="X80" s="466"/>
      <c r="Y80" s="467"/>
      <c r="Z80" s="466"/>
      <c r="AA80" s="466"/>
      <c r="AB80" s="466"/>
      <c r="AC80" s="467"/>
      <c r="AD80" s="467"/>
      <c r="AE80" s="467"/>
      <c r="AF80" s="466"/>
      <c r="AG80" s="467"/>
    </row>
    <row r="81" spans="1:33">
      <c r="A81" s="44" t="s">
        <v>114</v>
      </c>
      <c r="B81" s="45"/>
      <c r="C81" s="54"/>
      <c r="D81" s="46"/>
      <c r="E81" s="46"/>
      <c r="F81" s="464">
        <f t="shared" ref="F81:F144" si="8">SUM(H81,J81,L81,M81,N81,R81)</f>
        <v>0</v>
      </c>
      <c r="G81" s="465">
        <f t="shared" ref="G81:G144" si="9">SUM(I81,K81,O81,P81,Q81,S81)</f>
        <v>0</v>
      </c>
      <c r="H81" s="466"/>
      <c r="I81" s="467"/>
      <c r="J81" s="466"/>
      <c r="K81" s="467"/>
      <c r="L81" s="466"/>
      <c r="M81" s="466"/>
      <c r="N81" s="466"/>
      <c r="O81" s="467"/>
      <c r="P81" s="467"/>
      <c r="Q81" s="467"/>
      <c r="R81" s="466"/>
      <c r="S81" s="467"/>
      <c r="T81" s="464">
        <f t="shared" ref="T81:T144" si="10">SUM(V81,X81,Z81,AA81,AB81,AF81)</f>
        <v>0</v>
      </c>
      <c r="U81" s="465">
        <f t="shared" ref="U81:U144" si="11">SUM(W81,Y81,AC81,AD81,AE81,AG81)</f>
        <v>0</v>
      </c>
      <c r="V81" s="466"/>
      <c r="W81" s="467"/>
      <c r="X81" s="466"/>
      <c r="Y81" s="467"/>
      <c r="Z81" s="466"/>
      <c r="AA81" s="466"/>
      <c r="AB81" s="466"/>
      <c r="AC81" s="467"/>
      <c r="AD81" s="467"/>
      <c r="AE81" s="467"/>
      <c r="AF81" s="466"/>
      <c r="AG81" s="467"/>
    </row>
    <row r="82" spans="1:33" s="14" customFormat="1" ht="13.5" customHeight="1">
      <c r="A82" s="350" t="s">
        <v>114</v>
      </c>
      <c r="B82" s="351" t="s">
        <v>115</v>
      </c>
      <c r="C82" s="352"/>
      <c r="D82" s="350">
        <v>132693</v>
      </c>
      <c r="E82" s="350">
        <v>7</v>
      </c>
      <c r="F82" s="464">
        <f t="shared" si="8"/>
        <v>313337</v>
      </c>
      <c r="G82" s="465">
        <f t="shared" si="9"/>
        <v>305122</v>
      </c>
      <c r="H82" s="466">
        <v>196703</v>
      </c>
      <c r="I82" s="473">
        <v>103335</v>
      </c>
      <c r="J82" s="466">
        <v>5845</v>
      </c>
      <c r="K82" s="473">
        <v>4102</v>
      </c>
      <c r="L82" s="466">
        <v>110789</v>
      </c>
      <c r="M82" s="466">
        <v>0</v>
      </c>
      <c r="N82" s="466">
        <v>0</v>
      </c>
      <c r="O82" s="473">
        <v>154828</v>
      </c>
      <c r="P82" s="473">
        <v>42857</v>
      </c>
      <c r="Q82" s="474">
        <v>0</v>
      </c>
      <c r="R82" s="466">
        <v>0</v>
      </c>
      <c r="S82" s="474">
        <v>0</v>
      </c>
      <c r="T82" s="464">
        <f t="shared" si="10"/>
        <v>0</v>
      </c>
      <c r="U82" s="465">
        <f t="shared" si="11"/>
        <v>0</v>
      </c>
      <c r="V82" s="466"/>
      <c r="W82" s="467"/>
      <c r="X82" s="466"/>
      <c r="Y82" s="467"/>
      <c r="Z82" s="466"/>
      <c r="AA82" s="466"/>
      <c r="AB82" s="466"/>
      <c r="AC82" s="467"/>
      <c r="AD82" s="467"/>
      <c r="AE82" s="467"/>
      <c r="AF82" s="466"/>
      <c r="AG82" s="467"/>
    </row>
    <row r="83" spans="1:33">
      <c r="A83" s="350" t="s">
        <v>114</v>
      </c>
      <c r="B83" s="351" t="s">
        <v>116</v>
      </c>
      <c r="C83" s="352"/>
      <c r="D83" s="350">
        <v>132709</v>
      </c>
      <c r="E83" s="350">
        <v>7</v>
      </c>
      <c r="F83" s="464">
        <f t="shared" si="8"/>
        <v>826419</v>
      </c>
      <c r="G83" s="465">
        <f t="shared" si="9"/>
        <v>761067</v>
      </c>
      <c r="H83" s="466">
        <v>603695</v>
      </c>
      <c r="I83" s="473">
        <v>316089</v>
      </c>
      <c r="J83" s="466">
        <v>36944</v>
      </c>
      <c r="K83" s="473">
        <v>22265</v>
      </c>
      <c r="L83" s="466">
        <v>185483</v>
      </c>
      <c r="M83" s="466">
        <v>0</v>
      </c>
      <c r="N83" s="466">
        <v>285</v>
      </c>
      <c r="O83" s="473">
        <v>194781</v>
      </c>
      <c r="P83" s="473">
        <v>227752</v>
      </c>
      <c r="Q83" s="474">
        <v>0</v>
      </c>
      <c r="R83" s="466">
        <v>12</v>
      </c>
      <c r="S83" s="474">
        <v>180</v>
      </c>
      <c r="T83" s="464">
        <f t="shared" si="10"/>
        <v>0</v>
      </c>
      <c r="U83" s="465">
        <f t="shared" si="11"/>
        <v>0</v>
      </c>
      <c r="V83" s="466"/>
      <c r="W83" s="467"/>
      <c r="X83" s="466"/>
      <c r="Y83" s="467"/>
      <c r="Z83" s="466"/>
      <c r="AA83" s="466"/>
      <c r="AB83" s="466"/>
      <c r="AC83" s="467"/>
      <c r="AD83" s="467"/>
      <c r="AE83" s="467"/>
      <c r="AF83" s="466"/>
      <c r="AG83" s="467"/>
    </row>
    <row r="84" spans="1:33">
      <c r="A84" s="350" t="s">
        <v>114</v>
      </c>
      <c r="B84" s="351" t="s">
        <v>117</v>
      </c>
      <c r="C84" s="352"/>
      <c r="D84" s="350">
        <v>132851</v>
      </c>
      <c r="E84" s="350">
        <v>7</v>
      </c>
      <c r="F84" s="464">
        <f t="shared" si="8"/>
        <v>146358</v>
      </c>
      <c r="G84" s="465">
        <f t="shared" si="9"/>
        <v>139303</v>
      </c>
      <c r="H84" s="466">
        <v>95386</v>
      </c>
      <c r="I84" s="473">
        <v>47353</v>
      </c>
      <c r="J84" s="466">
        <v>0</v>
      </c>
      <c r="K84" s="474">
        <v>0</v>
      </c>
      <c r="L84" s="466">
        <v>50972</v>
      </c>
      <c r="M84" s="466">
        <v>0</v>
      </c>
      <c r="N84" s="466">
        <v>0</v>
      </c>
      <c r="O84" s="473">
        <v>90808</v>
      </c>
      <c r="P84" s="474">
        <v>0</v>
      </c>
      <c r="Q84" s="473">
        <v>1142</v>
      </c>
      <c r="R84" s="466">
        <v>0</v>
      </c>
      <c r="S84" s="474">
        <v>0</v>
      </c>
      <c r="T84" s="464">
        <f t="shared" si="10"/>
        <v>0</v>
      </c>
      <c r="U84" s="465">
        <f t="shared" si="11"/>
        <v>0</v>
      </c>
      <c r="V84" s="466"/>
      <c r="W84" s="467"/>
      <c r="X84" s="466"/>
      <c r="Y84" s="467"/>
      <c r="Z84" s="466"/>
      <c r="AA84" s="466"/>
      <c r="AB84" s="466"/>
      <c r="AC84" s="467"/>
      <c r="AD84" s="467"/>
      <c r="AE84" s="467"/>
      <c r="AF84" s="466"/>
      <c r="AG84" s="467"/>
    </row>
    <row r="85" spans="1:33">
      <c r="A85" s="350" t="s">
        <v>114</v>
      </c>
      <c r="B85" s="351" t="s">
        <v>118</v>
      </c>
      <c r="C85" s="353"/>
      <c r="D85" s="350">
        <v>133021</v>
      </c>
      <c r="E85" s="350">
        <v>7</v>
      </c>
      <c r="F85" s="464">
        <f t="shared" si="8"/>
        <v>38380</v>
      </c>
      <c r="G85" s="465">
        <f t="shared" si="9"/>
        <v>37404</v>
      </c>
      <c r="H85" s="466">
        <v>25145</v>
      </c>
      <c r="I85" s="473">
        <v>18026</v>
      </c>
      <c r="J85" s="466">
        <v>1906</v>
      </c>
      <c r="K85" s="473">
        <v>3381</v>
      </c>
      <c r="L85" s="466">
        <v>11329</v>
      </c>
      <c r="M85" s="466">
        <v>0</v>
      </c>
      <c r="N85" s="466">
        <v>0</v>
      </c>
      <c r="O85" s="473">
        <v>15997</v>
      </c>
      <c r="P85" s="474">
        <v>0</v>
      </c>
      <c r="Q85" s="474">
        <v>0</v>
      </c>
      <c r="R85" s="466">
        <v>0</v>
      </c>
      <c r="S85" s="474">
        <v>0</v>
      </c>
      <c r="T85" s="464">
        <f t="shared" si="10"/>
        <v>0</v>
      </c>
      <c r="U85" s="465">
        <f t="shared" si="11"/>
        <v>0</v>
      </c>
      <c r="V85" s="466"/>
      <c r="W85" s="467"/>
      <c r="X85" s="466"/>
      <c r="Y85" s="467"/>
      <c r="Z85" s="466"/>
      <c r="AA85" s="466"/>
      <c r="AB85" s="466"/>
      <c r="AC85" s="467"/>
      <c r="AD85" s="467"/>
      <c r="AE85" s="467"/>
      <c r="AF85" s="466"/>
      <c r="AG85" s="467"/>
    </row>
    <row r="86" spans="1:33">
      <c r="A86" s="350" t="s">
        <v>114</v>
      </c>
      <c r="B86" s="351" t="s">
        <v>119</v>
      </c>
      <c r="C86" s="353"/>
      <c r="D86" s="350">
        <v>133386</v>
      </c>
      <c r="E86" s="350">
        <v>7</v>
      </c>
      <c r="F86" s="464">
        <f t="shared" si="8"/>
        <v>283013</v>
      </c>
      <c r="G86" s="465">
        <f t="shared" si="9"/>
        <v>278713</v>
      </c>
      <c r="H86" s="466">
        <v>143503</v>
      </c>
      <c r="I86" s="473">
        <v>94226</v>
      </c>
      <c r="J86" s="466">
        <v>7177</v>
      </c>
      <c r="K86" s="473">
        <v>7172</v>
      </c>
      <c r="L86" s="466">
        <v>132333</v>
      </c>
      <c r="M86" s="466">
        <v>0</v>
      </c>
      <c r="N86" s="466">
        <v>0</v>
      </c>
      <c r="O86" s="473">
        <v>177315</v>
      </c>
      <c r="P86" s="474">
        <v>0</v>
      </c>
      <c r="Q86" s="474">
        <v>0</v>
      </c>
      <c r="R86" s="466">
        <v>0</v>
      </c>
      <c r="S86" s="474">
        <v>0</v>
      </c>
      <c r="T86" s="464">
        <f t="shared" si="10"/>
        <v>0</v>
      </c>
      <c r="U86" s="465">
        <f t="shared" si="11"/>
        <v>0</v>
      </c>
      <c r="V86" s="466"/>
      <c r="W86" s="467"/>
      <c r="X86" s="466"/>
      <c r="Y86" s="467"/>
      <c r="Z86" s="466"/>
      <c r="AA86" s="466"/>
      <c r="AB86" s="466"/>
      <c r="AC86" s="467"/>
      <c r="AD86" s="467"/>
      <c r="AE86" s="467"/>
      <c r="AF86" s="466"/>
      <c r="AG86" s="467"/>
    </row>
    <row r="87" spans="1:33">
      <c r="A87" s="350" t="s">
        <v>114</v>
      </c>
      <c r="B87" s="351" t="s">
        <v>120</v>
      </c>
      <c r="C87" s="353"/>
      <c r="D87" s="350">
        <v>133508</v>
      </c>
      <c r="E87" s="350">
        <v>7</v>
      </c>
      <c r="F87" s="464">
        <f t="shared" si="8"/>
        <v>330497</v>
      </c>
      <c r="G87" s="465">
        <f t="shared" si="9"/>
        <v>310635</v>
      </c>
      <c r="H87" s="466">
        <v>225593</v>
      </c>
      <c r="I87" s="473">
        <v>152877</v>
      </c>
      <c r="J87" s="466">
        <v>15807</v>
      </c>
      <c r="K87" s="473">
        <v>14254</v>
      </c>
      <c r="L87" s="466">
        <v>87771</v>
      </c>
      <c r="M87" s="466">
        <v>0</v>
      </c>
      <c r="N87" s="466">
        <v>0</v>
      </c>
      <c r="O87" s="473">
        <v>142434</v>
      </c>
      <c r="P87" s="474">
        <v>0</v>
      </c>
      <c r="Q87" s="474">
        <v>0</v>
      </c>
      <c r="R87" s="466">
        <v>1326</v>
      </c>
      <c r="S87" s="473">
        <v>1070</v>
      </c>
      <c r="T87" s="464">
        <f t="shared" si="10"/>
        <v>0</v>
      </c>
      <c r="U87" s="465">
        <f t="shared" si="11"/>
        <v>0</v>
      </c>
      <c r="V87" s="466"/>
      <c r="W87" s="467"/>
      <c r="X87" s="466"/>
      <c r="Y87" s="467"/>
      <c r="Z87" s="466"/>
      <c r="AA87" s="466"/>
      <c r="AB87" s="466"/>
      <c r="AC87" s="467"/>
      <c r="AD87" s="467"/>
      <c r="AE87" s="467"/>
      <c r="AF87" s="466"/>
      <c r="AG87" s="467"/>
    </row>
    <row r="88" spans="1:33">
      <c r="A88" s="350" t="s">
        <v>114</v>
      </c>
      <c r="B88" s="351" t="s">
        <v>121</v>
      </c>
      <c r="C88" s="354"/>
      <c r="D88" s="350">
        <v>133702</v>
      </c>
      <c r="E88" s="350">
        <v>7</v>
      </c>
      <c r="F88" s="464">
        <f t="shared" si="8"/>
        <v>479913</v>
      </c>
      <c r="G88" s="465">
        <f t="shared" si="9"/>
        <v>460902</v>
      </c>
      <c r="H88" s="466">
        <v>328845</v>
      </c>
      <c r="I88" s="473">
        <v>104697</v>
      </c>
      <c r="J88" s="466">
        <v>10264</v>
      </c>
      <c r="K88" s="473">
        <v>17274</v>
      </c>
      <c r="L88" s="466">
        <v>140804</v>
      </c>
      <c r="M88" s="466">
        <v>0</v>
      </c>
      <c r="N88" s="466">
        <v>0</v>
      </c>
      <c r="O88" s="473">
        <v>212963</v>
      </c>
      <c r="P88" s="473">
        <v>125968</v>
      </c>
      <c r="Q88" s="474">
        <v>0</v>
      </c>
      <c r="R88" s="466">
        <v>0</v>
      </c>
      <c r="S88" s="474">
        <v>0</v>
      </c>
      <c r="T88" s="464">
        <f t="shared" si="10"/>
        <v>0</v>
      </c>
      <c r="U88" s="465">
        <f t="shared" si="11"/>
        <v>0</v>
      </c>
      <c r="V88" s="466"/>
      <c r="W88" s="467"/>
      <c r="X88" s="466"/>
      <c r="Y88" s="467"/>
      <c r="Z88" s="466"/>
      <c r="AA88" s="466"/>
      <c r="AB88" s="466"/>
      <c r="AC88" s="467"/>
      <c r="AD88" s="467"/>
      <c r="AE88" s="467"/>
      <c r="AF88" s="466"/>
      <c r="AG88" s="467"/>
    </row>
    <row r="89" spans="1:33">
      <c r="A89" s="350" t="s">
        <v>114</v>
      </c>
      <c r="B89" s="351" t="s">
        <v>724</v>
      </c>
      <c r="C89" s="353" t="s">
        <v>725</v>
      </c>
      <c r="D89" s="350">
        <v>133960</v>
      </c>
      <c r="E89" s="350">
        <v>10</v>
      </c>
      <c r="F89" s="464">
        <f t="shared" si="8"/>
        <v>18962</v>
      </c>
      <c r="G89" s="465">
        <f t="shared" si="9"/>
        <v>20810</v>
      </c>
      <c r="H89" s="466">
        <v>13162</v>
      </c>
      <c r="I89" s="473">
        <v>7889</v>
      </c>
      <c r="J89" s="466">
        <v>678</v>
      </c>
      <c r="K89" s="474">
        <v>975</v>
      </c>
      <c r="L89" s="466">
        <v>5122</v>
      </c>
      <c r="M89" s="466">
        <v>0</v>
      </c>
      <c r="N89" s="466">
        <v>0</v>
      </c>
      <c r="O89" s="473">
        <v>11946</v>
      </c>
      <c r="P89" s="474">
        <v>0</v>
      </c>
      <c r="Q89" s="474">
        <v>0</v>
      </c>
      <c r="R89" s="466">
        <v>0</v>
      </c>
      <c r="S89" s="474">
        <v>0</v>
      </c>
      <c r="T89" s="464">
        <f t="shared" si="10"/>
        <v>0</v>
      </c>
      <c r="U89" s="465">
        <f t="shared" si="11"/>
        <v>0</v>
      </c>
      <c r="V89" s="466"/>
      <c r="W89" s="467"/>
      <c r="X89" s="466"/>
      <c r="Y89" s="467"/>
      <c r="Z89" s="466"/>
      <c r="AA89" s="466"/>
      <c r="AB89" s="466"/>
      <c r="AC89" s="467"/>
      <c r="AD89" s="467"/>
      <c r="AE89" s="467"/>
      <c r="AF89" s="466"/>
      <c r="AG89" s="467"/>
    </row>
    <row r="90" spans="1:33">
      <c r="A90" s="350" t="s">
        <v>114</v>
      </c>
      <c r="B90" s="351" t="s">
        <v>122</v>
      </c>
      <c r="C90" s="352"/>
      <c r="D90" s="350">
        <v>134343</v>
      </c>
      <c r="E90" s="350">
        <v>7</v>
      </c>
      <c r="F90" s="464">
        <f t="shared" si="8"/>
        <v>90176</v>
      </c>
      <c r="G90" s="465">
        <f t="shared" si="9"/>
        <v>90169</v>
      </c>
      <c r="H90" s="466">
        <v>51883</v>
      </c>
      <c r="I90" s="473">
        <v>46130</v>
      </c>
      <c r="J90" s="466">
        <v>9030</v>
      </c>
      <c r="K90" s="473">
        <v>9098</v>
      </c>
      <c r="L90" s="466">
        <v>29263</v>
      </c>
      <c r="M90" s="466">
        <v>0</v>
      </c>
      <c r="N90" s="466">
        <v>0</v>
      </c>
      <c r="O90" s="473">
        <v>34941</v>
      </c>
      <c r="P90" s="474">
        <v>0</v>
      </c>
      <c r="Q90" s="474">
        <v>0</v>
      </c>
      <c r="R90" s="466">
        <v>0</v>
      </c>
      <c r="S90" s="474">
        <v>0</v>
      </c>
      <c r="T90" s="464">
        <f t="shared" si="10"/>
        <v>0</v>
      </c>
      <c r="U90" s="465">
        <f t="shared" si="11"/>
        <v>0</v>
      </c>
      <c r="V90" s="466"/>
      <c r="W90" s="467"/>
      <c r="X90" s="466"/>
      <c r="Y90" s="467"/>
      <c r="Z90" s="466"/>
      <c r="AA90" s="466"/>
      <c r="AB90" s="466"/>
      <c r="AC90" s="467"/>
      <c r="AD90" s="467"/>
      <c r="AE90" s="467"/>
      <c r="AF90" s="466"/>
      <c r="AG90" s="467"/>
    </row>
    <row r="91" spans="1:33">
      <c r="A91" s="350" t="s">
        <v>114</v>
      </c>
      <c r="B91" s="351" t="s">
        <v>123</v>
      </c>
      <c r="C91" s="353"/>
      <c r="D91" s="350">
        <v>134495</v>
      </c>
      <c r="E91" s="350">
        <v>8</v>
      </c>
      <c r="F91" s="464">
        <f t="shared" si="8"/>
        <v>587949</v>
      </c>
      <c r="G91" s="465">
        <f t="shared" si="9"/>
        <v>566562</v>
      </c>
      <c r="H91" s="466">
        <v>356199</v>
      </c>
      <c r="I91" s="473">
        <v>177410</v>
      </c>
      <c r="J91" s="466">
        <v>25797</v>
      </c>
      <c r="K91" s="473">
        <v>25820</v>
      </c>
      <c r="L91" s="466">
        <v>205953</v>
      </c>
      <c r="M91" s="466">
        <v>0</v>
      </c>
      <c r="N91" s="466">
        <v>0</v>
      </c>
      <c r="O91" s="473">
        <v>363332</v>
      </c>
      <c r="P91" s="474">
        <v>0</v>
      </c>
      <c r="Q91" s="474">
        <v>0</v>
      </c>
      <c r="R91" s="466">
        <v>0</v>
      </c>
      <c r="S91" s="474">
        <v>0</v>
      </c>
      <c r="T91" s="464">
        <f t="shared" si="10"/>
        <v>0</v>
      </c>
      <c r="U91" s="465">
        <f t="shared" si="11"/>
        <v>0</v>
      </c>
      <c r="V91" s="466"/>
      <c r="W91" s="467"/>
      <c r="X91" s="466"/>
      <c r="Y91" s="467"/>
      <c r="Z91" s="466"/>
      <c r="AA91" s="466"/>
      <c r="AB91" s="466"/>
      <c r="AC91" s="467"/>
      <c r="AD91" s="467"/>
      <c r="AE91" s="467"/>
      <c r="AF91" s="466"/>
      <c r="AG91" s="467"/>
    </row>
    <row r="92" spans="1:33">
      <c r="A92" s="350" t="s">
        <v>114</v>
      </c>
      <c r="B92" s="351" t="s">
        <v>124</v>
      </c>
      <c r="C92" s="354"/>
      <c r="D92" s="350">
        <v>134608</v>
      </c>
      <c r="E92" s="350">
        <v>7</v>
      </c>
      <c r="F92" s="464">
        <f t="shared" si="8"/>
        <v>316920</v>
      </c>
      <c r="G92" s="465">
        <f t="shared" si="9"/>
        <v>301288</v>
      </c>
      <c r="H92" s="466">
        <v>185326</v>
      </c>
      <c r="I92" s="473">
        <v>106134</v>
      </c>
      <c r="J92" s="466">
        <v>27091</v>
      </c>
      <c r="K92" s="473">
        <v>5981</v>
      </c>
      <c r="L92" s="466">
        <v>69185</v>
      </c>
      <c r="M92" s="466">
        <v>0</v>
      </c>
      <c r="N92" s="466">
        <v>35318</v>
      </c>
      <c r="O92" s="473">
        <v>173434</v>
      </c>
      <c r="P92" s="473">
        <v>15739</v>
      </c>
      <c r="Q92" s="474">
        <v>0</v>
      </c>
      <c r="R92" s="466">
        <v>0</v>
      </c>
      <c r="S92" s="474">
        <v>0</v>
      </c>
      <c r="T92" s="464">
        <f t="shared" si="10"/>
        <v>0</v>
      </c>
      <c r="U92" s="465">
        <f t="shared" si="11"/>
        <v>0</v>
      </c>
      <c r="V92" s="466"/>
      <c r="W92" s="467"/>
      <c r="X92" s="466"/>
      <c r="Y92" s="467"/>
      <c r="Z92" s="466"/>
      <c r="AA92" s="466"/>
      <c r="AB92" s="466"/>
      <c r="AC92" s="467"/>
      <c r="AD92" s="467"/>
      <c r="AE92" s="467"/>
      <c r="AF92" s="466"/>
      <c r="AG92" s="467"/>
    </row>
    <row r="93" spans="1:33">
      <c r="A93" s="350" t="s">
        <v>114</v>
      </c>
      <c r="B93" s="351" t="s">
        <v>125</v>
      </c>
      <c r="C93" s="352"/>
      <c r="D93" s="350">
        <v>135160</v>
      </c>
      <c r="E93" s="350">
        <v>7</v>
      </c>
      <c r="F93" s="464">
        <f t="shared" si="8"/>
        <v>64237</v>
      </c>
      <c r="G93" s="465">
        <f t="shared" si="9"/>
        <v>60416</v>
      </c>
      <c r="H93" s="466">
        <v>24772</v>
      </c>
      <c r="I93" s="473">
        <v>18529</v>
      </c>
      <c r="J93" s="466">
        <v>4161</v>
      </c>
      <c r="K93" s="473">
        <v>3055</v>
      </c>
      <c r="L93" s="466">
        <v>35304</v>
      </c>
      <c r="M93" s="466">
        <v>0</v>
      </c>
      <c r="N93" s="466">
        <v>0</v>
      </c>
      <c r="O93" s="473">
        <v>38832</v>
      </c>
      <c r="P93" s="474">
        <v>0</v>
      </c>
      <c r="Q93" s="474">
        <v>0</v>
      </c>
      <c r="R93" s="466">
        <v>0</v>
      </c>
      <c r="S93" s="474">
        <v>0</v>
      </c>
      <c r="T93" s="464">
        <f t="shared" si="10"/>
        <v>0</v>
      </c>
      <c r="U93" s="465">
        <f t="shared" si="11"/>
        <v>0</v>
      </c>
      <c r="V93" s="466"/>
      <c r="W93" s="467"/>
      <c r="X93" s="466"/>
      <c r="Y93" s="467"/>
      <c r="Z93" s="466"/>
      <c r="AA93" s="466"/>
      <c r="AB93" s="466"/>
      <c r="AC93" s="467"/>
      <c r="AD93" s="467"/>
      <c r="AE93" s="467"/>
      <c r="AF93" s="466"/>
      <c r="AG93" s="467"/>
    </row>
    <row r="94" spans="1:33">
      <c r="A94" s="350" t="s">
        <v>114</v>
      </c>
      <c r="B94" s="351" t="s">
        <v>126</v>
      </c>
      <c r="C94" s="352"/>
      <c r="D94" s="350">
        <v>135188</v>
      </c>
      <c r="E94" s="350">
        <v>7</v>
      </c>
      <c r="F94" s="464">
        <f t="shared" si="8"/>
        <v>99162</v>
      </c>
      <c r="G94" s="465">
        <f t="shared" si="9"/>
        <v>97706</v>
      </c>
      <c r="H94" s="466">
        <v>63914</v>
      </c>
      <c r="I94" s="473">
        <v>31829</v>
      </c>
      <c r="J94" s="466">
        <v>0</v>
      </c>
      <c r="K94" s="474">
        <v>0</v>
      </c>
      <c r="L94" s="466">
        <v>35248</v>
      </c>
      <c r="M94" s="466">
        <v>0</v>
      </c>
      <c r="N94" s="466">
        <v>0</v>
      </c>
      <c r="O94" s="473">
        <v>65877</v>
      </c>
      <c r="P94" s="474">
        <v>0</v>
      </c>
      <c r="Q94" s="474">
        <v>0</v>
      </c>
      <c r="R94" s="466">
        <v>0</v>
      </c>
      <c r="S94" s="474">
        <v>0</v>
      </c>
      <c r="T94" s="464">
        <f t="shared" si="10"/>
        <v>0</v>
      </c>
      <c r="U94" s="465">
        <f t="shared" si="11"/>
        <v>0</v>
      </c>
      <c r="V94" s="466"/>
      <c r="W94" s="467"/>
      <c r="X94" s="466"/>
      <c r="Y94" s="467"/>
      <c r="Z94" s="466"/>
      <c r="AA94" s="466"/>
      <c r="AB94" s="466"/>
      <c r="AC94" s="467"/>
      <c r="AD94" s="467"/>
      <c r="AE94" s="467"/>
      <c r="AF94" s="466"/>
      <c r="AG94" s="467"/>
    </row>
    <row r="95" spans="1:33">
      <c r="A95" s="350" t="s">
        <v>114</v>
      </c>
      <c r="B95" s="351" t="s">
        <v>127</v>
      </c>
      <c r="C95" s="352"/>
      <c r="D95" s="350">
        <v>135391</v>
      </c>
      <c r="E95" s="350">
        <v>7</v>
      </c>
      <c r="F95" s="464">
        <f t="shared" si="8"/>
        <v>200641</v>
      </c>
      <c r="G95" s="465">
        <f t="shared" si="9"/>
        <v>197418</v>
      </c>
      <c r="H95" s="466">
        <v>119488</v>
      </c>
      <c r="I95" s="473">
        <v>69428</v>
      </c>
      <c r="J95" s="466">
        <v>4208</v>
      </c>
      <c r="K95" s="474">
        <v>0</v>
      </c>
      <c r="L95" s="466">
        <v>76945</v>
      </c>
      <c r="M95" s="466">
        <v>0</v>
      </c>
      <c r="N95" s="466">
        <v>0</v>
      </c>
      <c r="O95" s="473">
        <v>115010</v>
      </c>
      <c r="P95" s="473">
        <v>12980</v>
      </c>
      <c r="Q95" s="474">
        <v>0</v>
      </c>
      <c r="R95" s="466">
        <v>0</v>
      </c>
      <c r="S95" s="474">
        <v>0</v>
      </c>
      <c r="T95" s="464">
        <f t="shared" si="10"/>
        <v>0</v>
      </c>
      <c r="U95" s="465">
        <f t="shared" si="11"/>
        <v>0</v>
      </c>
      <c r="V95" s="466"/>
      <c r="W95" s="467"/>
      <c r="X95" s="466"/>
      <c r="Y95" s="467"/>
      <c r="Z95" s="466"/>
      <c r="AA95" s="466"/>
      <c r="AB95" s="466"/>
      <c r="AC95" s="467"/>
      <c r="AD95" s="467"/>
      <c r="AE95" s="467"/>
      <c r="AF95" s="466"/>
      <c r="AG95" s="467"/>
    </row>
    <row r="96" spans="1:33">
      <c r="A96" s="350" t="s">
        <v>114</v>
      </c>
      <c r="B96" s="351" t="s">
        <v>128</v>
      </c>
      <c r="C96" s="353"/>
      <c r="D96" s="350">
        <v>135717</v>
      </c>
      <c r="E96" s="350">
        <v>7</v>
      </c>
      <c r="F96" s="464">
        <f t="shared" si="8"/>
        <v>1325305</v>
      </c>
      <c r="G96" s="465">
        <f t="shared" si="9"/>
        <v>1238787</v>
      </c>
      <c r="H96" s="466">
        <v>1148586</v>
      </c>
      <c r="I96" s="473">
        <v>633556</v>
      </c>
      <c r="J96" s="466">
        <v>20051</v>
      </c>
      <c r="K96" s="473">
        <v>17779</v>
      </c>
      <c r="L96" s="466">
        <v>154631</v>
      </c>
      <c r="M96" s="466">
        <v>0</v>
      </c>
      <c r="N96" s="466">
        <v>0</v>
      </c>
      <c r="O96" s="473">
        <v>424660</v>
      </c>
      <c r="P96" s="473">
        <v>160784</v>
      </c>
      <c r="Q96" s="474">
        <v>0</v>
      </c>
      <c r="R96" s="466">
        <v>2037</v>
      </c>
      <c r="S96" s="473">
        <v>2008</v>
      </c>
      <c r="T96" s="464">
        <f t="shared" si="10"/>
        <v>0</v>
      </c>
      <c r="U96" s="465">
        <f t="shared" si="11"/>
        <v>0</v>
      </c>
      <c r="V96" s="466"/>
      <c r="W96" s="467"/>
      <c r="X96" s="466"/>
      <c r="Y96" s="467"/>
      <c r="Z96" s="466"/>
      <c r="AA96" s="466"/>
      <c r="AB96" s="466"/>
      <c r="AC96" s="467"/>
      <c r="AD96" s="467"/>
      <c r="AE96" s="467"/>
      <c r="AF96" s="466"/>
      <c r="AG96" s="467"/>
    </row>
    <row r="97" spans="1:33">
      <c r="A97" s="350" t="s">
        <v>114</v>
      </c>
      <c r="B97" s="351" t="s">
        <v>726</v>
      </c>
      <c r="C97" s="353" t="s">
        <v>723</v>
      </c>
      <c r="D97" s="350">
        <v>136145</v>
      </c>
      <c r="E97" s="350">
        <v>10</v>
      </c>
      <c r="F97" s="464">
        <f t="shared" si="8"/>
        <v>22335</v>
      </c>
      <c r="G97" s="465">
        <f t="shared" si="9"/>
        <v>21932</v>
      </c>
      <c r="H97" s="466">
        <v>12248</v>
      </c>
      <c r="I97" s="473">
        <v>8942</v>
      </c>
      <c r="J97" s="466">
        <v>288</v>
      </c>
      <c r="K97" s="474">
        <v>588</v>
      </c>
      <c r="L97" s="466">
        <v>9799</v>
      </c>
      <c r="M97" s="466">
        <v>0</v>
      </c>
      <c r="N97" s="466">
        <v>0</v>
      </c>
      <c r="O97" s="473">
        <v>12170</v>
      </c>
      <c r="P97" s="474">
        <v>232</v>
      </c>
      <c r="Q97" s="474">
        <v>0</v>
      </c>
      <c r="R97" s="466">
        <v>0</v>
      </c>
      <c r="S97" s="474">
        <v>0</v>
      </c>
      <c r="T97" s="464">
        <f t="shared" si="10"/>
        <v>0</v>
      </c>
      <c r="U97" s="465">
        <f t="shared" si="11"/>
        <v>0</v>
      </c>
      <c r="V97" s="466"/>
      <c r="W97" s="467"/>
      <c r="X97" s="466"/>
      <c r="Y97" s="467"/>
      <c r="Z97" s="466"/>
      <c r="AA97" s="466"/>
      <c r="AB97" s="466"/>
      <c r="AC97" s="467"/>
      <c r="AD97" s="467"/>
      <c r="AE97" s="467"/>
      <c r="AF97" s="466"/>
      <c r="AG97" s="467"/>
    </row>
    <row r="98" spans="1:33">
      <c r="A98" s="350" t="s">
        <v>114</v>
      </c>
      <c r="B98" s="351" t="s">
        <v>129</v>
      </c>
      <c r="C98" s="353"/>
      <c r="D98" s="350">
        <v>136233</v>
      </c>
      <c r="E98" s="350">
        <v>7</v>
      </c>
      <c r="F98" s="464">
        <f t="shared" si="8"/>
        <v>108814</v>
      </c>
      <c r="G98" s="465">
        <f t="shared" si="9"/>
        <v>105506</v>
      </c>
      <c r="H98" s="466">
        <v>58047</v>
      </c>
      <c r="I98" s="473">
        <v>38892</v>
      </c>
      <c r="J98" s="466">
        <v>6697</v>
      </c>
      <c r="K98" s="473">
        <v>3220</v>
      </c>
      <c r="L98" s="466">
        <v>44070</v>
      </c>
      <c r="M98" s="466">
        <v>0</v>
      </c>
      <c r="N98" s="466">
        <v>0</v>
      </c>
      <c r="O98" s="473">
        <v>63394</v>
      </c>
      <c r="P98" s="474">
        <v>0</v>
      </c>
      <c r="Q98" s="474">
        <v>0</v>
      </c>
      <c r="R98" s="466">
        <v>0</v>
      </c>
      <c r="S98" s="474">
        <v>0</v>
      </c>
      <c r="T98" s="464">
        <f t="shared" si="10"/>
        <v>0</v>
      </c>
      <c r="U98" s="465">
        <f t="shared" si="11"/>
        <v>0</v>
      </c>
      <c r="V98" s="466"/>
      <c r="W98" s="467"/>
      <c r="X98" s="466"/>
      <c r="Y98" s="467"/>
      <c r="Z98" s="466"/>
      <c r="AA98" s="466"/>
      <c r="AB98" s="466"/>
      <c r="AC98" s="467"/>
      <c r="AD98" s="467"/>
      <c r="AE98" s="467"/>
      <c r="AF98" s="466"/>
      <c r="AG98" s="467"/>
    </row>
    <row r="99" spans="1:33">
      <c r="A99" s="350" t="s">
        <v>114</v>
      </c>
      <c r="B99" s="351" t="s">
        <v>130</v>
      </c>
      <c r="C99" s="352"/>
      <c r="D99" s="350">
        <v>136358</v>
      </c>
      <c r="E99" s="350">
        <v>7</v>
      </c>
      <c r="F99" s="464">
        <f t="shared" si="8"/>
        <v>589314</v>
      </c>
      <c r="G99" s="465">
        <f t="shared" si="9"/>
        <v>559943</v>
      </c>
      <c r="H99" s="466">
        <v>445876</v>
      </c>
      <c r="I99" s="473">
        <v>174095</v>
      </c>
      <c r="J99" s="466">
        <v>8260</v>
      </c>
      <c r="K99" s="473">
        <v>5399</v>
      </c>
      <c r="L99" s="466">
        <v>132182</v>
      </c>
      <c r="M99" s="466">
        <v>0</v>
      </c>
      <c r="N99" s="466">
        <v>2996</v>
      </c>
      <c r="O99" s="473">
        <v>162739</v>
      </c>
      <c r="P99" s="473">
        <v>216194</v>
      </c>
      <c r="Q99" s="473">
        <v>1516</v>
      </c>
      <c r="R99" s="466">
        <v>0</v>
      </c>
      <c r="S99" s="474">
        <v>0</v>
      </c>
      <c r="T99" s="464">
        <f t="shared" si="10"/>
        <v>0</v>
      </c>
      <c r="U99" s="465">
        <f t="shared" si="11"/>
        <v>0</v>
      </c>
      <c r="V99" s="466"/>
      <c r="W99" s="467"/>
      <c r="X99" s="466"/>
      <c r="Y99" s="467"/>
      <c r="Z99" s="466"/>
      <c r="AA99" s="466"/>
      <c r="AB99" s="466"/>
      <c r="AC99" s="467"/>
      <c r="AD99" s="467"/>
      <c r="AE99" s="467"/>
      <c r="AF99" s="466"/>
      <c r="AG99" s="467"/>
    </row>
    <row r="100" spans="1:33">
      <c r="A100" s="350" t="s">
        <v>114</v>
      </c>
      <c r="B100" s="351" t="s">
        <v>131</v>
      </c>
      <c r="C100" s="352"/>
      <c r="D100" s="350">
        <v>136400</v>
      </c>
      <c r="E100" s="350">
        <v>7</v>
      </c>
      <c r="F100" s="464">
        <f t="shared" si="8"/>
        <v>219296</v>
      </c>
      <c r="G100" s="465">
        <f t="shared" si="9"/>
        <v>212428</v>
      </c>
      <c r="H100" s="466">
        <v>138852</v>
      </c>
      <c r="I100" s="473">
        <v>64511</v>
      </c>
      <c r="J100" s="466">
        <v>10845</v>
      </c>
      <c r="K100" s="473">
        <v>5644</v>
      </c>
      <c r="L100" s="466">
        <v>69599</v>
      </c>
      <c r="M100" s="466">
        <v>0</v>
      </c>
      <c r="N100" s="466">
        <v>0</v>
      </c>
      <c r="O100" s="473">
        <v>107436</v>
      </c>
      <c r="P100" s="473">
        <v>34837</v>
      </c>
      <c r="Q100" s="474">
        <v>0</v>
      </c>
      <c r="R100" s="466">
        <v>0</v>
      </c>
      <c r="S100" s="474">
        <v>0</v>
      </c>
      <c r="T100" s="464">
        <f t="shared" si="10"/>
        <v>0</v>
      </c>
      <c r="U100" s="465">
        <f t="shared" si="11"/>
        <v>0</v>
      </c>
      <c r="V100" s="466"/>
      <c r="W100" s="467"/>
      <c r="X100" s="466"/>
      <c r="Y100" s="467"/>
      <c r="Z100" s="466"/>
      <c r="AA100" s="466"/>
      <c r="AB100" s="466"/>
      <c r="AC100" s="467"/>
      <c r="AD100" s="467"/>
      <c r="AE100" s="467"/>
      <c r="AF100" s="466"/>
      <c r="AG100" s="467"/>
    </row>
    <row r="101" spans="1:33">
      <c r="A101" s="350" t="s">
        <v>114</v>
      </c>
      <c r="B101" s="351" t="s">
        <v>132</v>
      </c>
      <c r="C101" s="352"/>
      <c r="D101" s="350">
        <v>136473</v>
      </c>
      <c r="E101" s="350">
        <v>7</v>
      </c>
      <c r="F101" s="464">
        <f t="shared" si="8"/>
        <v>198132</v>
      </c>
      <c r="G101" s="465">
        <f t="shared" si="9"/>
        <v>186929</v>
      </c>
      <c r="H101" s="466">
        <v>112721</v>
      </c>
      <c r="I101" s="473">
        <v>58110</v>
      </c>
      <c r="J101" s="466">
        <v>24669</v>
      </c>
      <c r="K101" s="473">
        <v>19179</v>
      </c>
      <c r="L101" s="466">
        <v>59969</v>
      </c>
      <c r="M101" s="466">
        <v>773</v>
      </c>
      <c r="N101" s="466">
        <v>0</v>
      </c>
      <c r="O101" s="473">
        <v>67170</v>
      </c>
      <c r="P101" s="473">
        <v>42470</v>
      </c>
      <c r="Q101" s="474">
        <v>0</v>
      </c>
      <c r="R101" s="466">
        <v>0</v>
      </c>
      <c r="S101" s="474">
        <v>0</v>
      </c>
      <c r="T101" s="464">
        <f t="shared" si="10"/>
        <v>0</v>
      </c>
      <c r="U101" s="465">
        <f t="shared" si="11"/>
        <v>0</v>
      </c>
      <c r="V101" s="466"/>
      <c r="W101" s="467"/>
      <c r="X101" s="466"/>
      <c r="Y101" s="467"/>
      <c r="Z101" s="466"/>
      <c r="AA101" s="466"/>
      <c r="AB101" s="466"/>
      <c r="AC101" s="467"/>
      <c r="AD101" s="467"/>
      <c r="AE101" s="467"/>
      <c r="AF101" s="466"/>
      <c r="AG101" s="467"/>
    </row>
    <row r="102" spans="1:33">
      <c r="A102" s="350" t="s">
        <v>114</v>
      </c>
      <c r="B102" s="351" t="s">
        <v>133</v>
      </c>
      <c r="C102" s="352"/>
      <c r="D102" s="350">
        <v>136516</v>
      </c>
      <c r="E102" s="350">
        <v>7</v>
      </c>
      <c r="F102" s="464">
        <f t="shared" si="8"/>
        <v>197321</v>
      </c>
      <c r="G102" s="465">
        <f t="shared" si="9"/>
        <v>190278</v>
      </c>
      <c r="H102" s="466">
        <v>101429</v>
      </c>
      <c r="I102" s="473">
        <v>48040</v>
      </c>
      <c r="J102" s="466">
        <v>20662</v>
      </c>
      <c r="K102" s="473">
        <v>13318</v>
      </c>
      <c r="L102" s="466">
        <v>75230</v>
      </c>
      <c r="M102" s="466">
        <v>0</v>
      </c>
      <c r="N102" s="466">
        <v>0</v>
      </c>
      <c r="O102" s="473">
        <v>128920</v>
      </c>
      <c r="P102" s="474">
        <v>0</v>
      </c>
      <c r="Q102" s="474">
        <v>0</v>
      </c>
      <c r="R102" s="466">
        <v>0</v>
      </c>
      <c r="S102" s="474">
        <v>0</v>
      </c>
      <c r="T102" s="464">
        <f t="shared" si="10"/>
        <v>0</v>
      </c>
      <c r="U102" s="465">
        <f t="shared" si="11"/>
        <v>0</v>
      </c>
      <c r="V102" s="466"/>
      <c r="W102" s="467"/>
      <c r="X102" s="466"/>
      <c r="Y102" s="467"/>
      <c r="Z102" s="466"/>
      <c r="AA102" s="466"/>
      <c r="AB102" s="466"/>
      <c r="AC102" s="467"/>
      <c r="AD102" s="467"/>
      <c r="AE102" s="467"/>
      <c r="AF102" s="466"/>
      <c r="AG102" s="467"/>
    </row>
    <row r="103" spans="1:33">
      <c r="A103" s="350" t="s">
        <v>114</v>
      </c>
      <c r="B103" s="351" t="s">
        <v>134</v>
      </c>
      <c r="C103" s="352"/>
      <c r="D103" s="350">
        <v>137281</v>
      </c>
      <c r="E103" s="350">
        <v>7</v>
      </c>
      <c r="F103" s="464">
        <f t="shared" si="8"/>
        <v>134813</v>
      </c>
      <c r="G103" s="465">
        <f t="shared" si="9"/>
        <v>133424</v>
      </c>
      <c r="H103" s="466">
        <v>67999</v>
      </c>
      <c r="I103" s="473">
        <v>33154</v>
      </c>
      <c r="J103" s="466">
        <v>17669</v>
      </c>
      <c r="K103" s="473">
        <v>13450</v>
      </c>
      <c r="L103" s="466">
        <v>49004</v>
      </c>
      <c r="M103" s="466">
        <v>141</v>
      </c>
      <c r="N103" s="466">
        <v>0</v>
      </c>
      <c r="O103" s="473">
        <v>86763</v>
      </c>
      <c r="P103" s="474">
        <v>0</v>
      </c>
      <c r="Q103" s="474">
        <v>57</v>
      </c>
      <c r="R103" s="466">
        <v>0</v>
      </c>
      <c r="S103" s="474">
        <v>0</v>
      </c>
      <c r="T103" s="464">
        <f t="shared" si="10"/>
        <v>0</v>
      </c>
      <c r="U103" s="465">
        <f t="shared" si="11"/>
        <v>0</v>
      </c>
      <c r="V103" s="466"/>
      <c r="W103" s="467"/>
      <c r="X103" s="466"/>
      <c r="Y103" s="467"/>
      <c r="Z103" s="466"/>
      <c r="AA103" s="466"/>
      <c r="AB103" s="466"/>
      <c r="AC103" s="467"/>
      <c r="AD103" s="467"/>
      <c r="AE103" s="467"/>
      <c r="AF103" s="466"/>
      <c r="AG103" s="467"/>
    </row>
    <row r="104" spans="1:33">
      <c r="A104" s="350" t="s">
        <v>114</v>
      </c>
      <c r="B104" s="351" t="s">
        <v>135</v>
      </c>
      <c r="C104" s="353"/>
      <c r="D104" s="350">
        <v>137078</v>
      </c>
      <c r="E104" s="350">
        <v>7</v>
      </c>
      <c r="F104" s="464">
        <f t="shared" si="8"/>
        <v>550463</v>
      </c>
      <c r="G104" s="465">
        <f t="shared" si="9"/>
        <v>522921</v>
      </c>
      <c r="H104" s="466">
        <v>276401</v>
      </c>
      <c r="I104" s="473">
        <v>150275</v>
      </c>
      <c r="J104" s="466">
        <v>0</v>
      </c>
      <c r="K104" s="474">
        <v>0</v>
      </c>
      <c r="L104" s="466">
        <v>274062</v>
      </c>
      <c r="M104" s="466">
        <v>0</v>
      </c>
      <c r="N104" s="466">
        <v>0</v>
      </c>
      <c r="O104" s="473">
        <v>308566</v>
      </c>
      <c r="P104" s="473">
        <v>64080</v>
      </c>
      <c r="Q104" s="474">
        <v>0</v>
      </c>
      <c r="R104" s="466">
        <v>0</v>
      </c>
      <c r="S104" s="474">
        <v>0</v>
      </c>
      <c r="T104" s="464">
        <f t="shared" si="10"/>
        <v>0</v>
      </c>
      <c r="U104" s="465">
        <f t="shared" si="11"/>
        <v>0</v>
      </c>
      <c r="V104" s="466"/>
      <c r="W104" s="467"/>
      <c r="X104" s="466"/>
      <c r="Y104" s="467"/>
      <c r="Z104" s="466"/>
      <c r="AA104" s="466"/>
      <c r="AB104" s="466"/>
      <c r="AC104" s="467"/>
      <c r="AD104" s="467"/>
      <c r="AE104" s="467"/>
      <c r="AF104" s="466"/>
      <c r="AG104" s="467"/>
    </row>
    <row r="105" spans="1:33">
      <c r="A105" s="350" t="s">
        <v>114</v>
      </c>
      <c r="B105" s="351" t="s">
        <v>136</v>
      </c>
      <c r="C105" s="352"/>
      <c r="D105" s="350">
        <v>137096</v>
      </c>
      <c r="E105" s="350">
        <v>7</v>
      </c>
      <c r="F105" s="464">
        <f t="shared" si="8"/>
        <v>307780</v>
      </c>
      <c r="G105" s="465">
        <f t="shared" si="9"/>
        <v>289536</v>
      </c>
      <c r="H105" s="466">
        <v>223246</v>
      </c>
      <c r="I105" s="473">
        <v>158373</v>
      </c>
      <c r="J105" s="466">
        <v>3703</v>
      </c>
      <c r="K105" s="473">
        <v>3127</v>
      </c>
      <c r="L105" s="466">
        <v>80831</v>
      </c>
      <c r="M105" s="466">
        <v>0</v>
      </c>
      <c r="N105" s="466">
        <v>0</v>
      </c>
      <c r="O105" s="473">
        <v>128036</v>
      </c>
      <c r="P105" s="474">
        <v>0</v>
      </c>
      <c r="Q105" s="474">
        <v>0</v>
      </c>
      <c r="R105" s="466">
        <v>0</v>
      </c>
      <c r="S105" s="474">
        <v>0</v>
      </c>
      <c r="T105" s="464">
        <f t="shared" si="10"/>
        <v>0</v>
      </c>
      <c r="U105" s="465">
        <f t="shared" si="11"/>
        <v>0</v>
      </c>
      <c r="V105" s="466"/>
      <c r="W105" s="467"/>
      <c r="X105" s="466"/>
      <c r="Y105" s="467"/>
      <c r="Z105" s="466"/>
      <c r="AA105" s="466"/>
      <c r="AB105" s="466"/>
      <c r="AC105" s="467"/>
      <c r="AD105" s="467"/>
      <c r="AE105" s="467"/>
      <c r="AF105" s="466"/>
      <c r="AG105" s="467"/>
    </row>
    <row r="106" spans="1:33">
      <c r="A106" s="350" t="s">
        <v>114</v>
      </c>
      <c r="B106" s="351" t="s">
        <v>137</v>
      </c>
      <c r="C106" s="352"/>
      <c r="D106" s="350">
        <v>137209</v>
      </c>
      <c r="E106" s="350">
        <v>7</v>
      </c>
      <c r="F106" s="464">
        <f t="shared" si="8"/>
        <v>333440</v>
      </c>
      <c r="G106" s="465">
        <f t="shared" si="9"/>
        <v>332564</v>
      </c>
      <c r="H106" s="466">
        <v>200378</v>
      </c>
      <c r="I106" s="473">
        <v>115318</v>
      </c>
      <c r="J106" s="466">
        <v>0</v>
      </c>
      <c r="K106" s="474">
        <v>0</v>
      </c>
      <c r="L106" s="466">
        <v>133062</v>
      </c>
      <c r="M106" s="466">
        <v>0</v>
      </c>
      <c r="N106" s="466">
        <v>0</v>
      </c>
      <c r="O106" s="473">
        <v>182866</v>
      </c>
      <c r="P106" s="473">
        <v>34380</v>
      </c>
      <c r="Q106" s="474">
        <v>0</v>
      </c>
      <c r="R106" s="466">
        <v>0</v>
      </c>
      <c r="S106" s="474">
        <v>0</v>
      </c>
      <c r="T106" s="464">
        <f t="shared" si="10"/>
        <v>0</v>
      </c>
      <c r="U106" s="465">
        <f t="shared" si="11"/>
        <v>0</v>
      </c>
      <c r="V106" s="466"/>
      <c r="W106" s="467"/>
      <c r="X106" s="466"/>
      <c r="Y106" s="467"/>
      <c r="Z106" s="466"/>
      <c r="AA106" s="466"/>
      <c r="AB106" s="466"/>
      <c r="AC106" s="467"/>
      <c r="AD106" s="467"/>
      <c r="AE106" s="467"/>
      <c r="AF106" s="466"/>
      <c r="AG106" s="467"/>
    </row>
    <row r="107" spans="1:33">
      <c r="A107" s="350" t="s">
        <v>114</v>
      </c>
      <c r="B107" s="351" t="s">
        <v>138</v>
      </c>
      <c r="C107" s="352"/>
      <c r="D107" s="350">
        <v>137315</v>
      </c>
      <c r="E107" s="350">
        <v>7</v>
      </c>
      <c r="F107" s="464">
        <f t="shared" si="8"/>
        <v>47891</v>
      </c>
      <c r="G107" s="465">
        <f t="shared" si="9"/>
        <v>48170</v>
      </c>
      <c r="H107" s="466">
        <v>23874</v>
      </c>
      <c r="I107" s="473">
        <v>14983</v>
      </c>
      <c r="J107" s="466">
        <v>9312</v>
      </c>
      <c r="K107" s="473">
        <v>5571</v>
      </c>
      <c r="L107" s="466">
        <v>14673</v>
      </c>
      <c r="M107" s="466">
        <v>0</v>
      </c>
      <c r="N107" s="466">
        <v>32</v>
      </c>
      <c r="O107" s="473">
        <v>26529</v>
      </c>
      <c r="P107" s="473">
        <v>1059</v>
      </c>
      <c r="Q107" s="474">
        <v>28</v>
      </c>
      <c r="R107" s="466">
        <v>0</v>
      </c>
      <c r="S107" s="474">
        <v>0</v>
      </c>
      <c r="T107" s="464">
        <f t="shared" si="10"/>
        <v>0</v>
      </c>
      <c r="U107" s="465">
        <f t="shared" si="11"/>
        <v>0</v>
      </c>
      <c r="V107" s="466"/>
      <c r="W107" s="467"/>
      <c r="X107" s="466"/>
      <c r="Y107" s="467"/>
      <c r="Z107" s="466"/>
      <c r="AA107" s="466"/>
      <c r="AB107" s="466"/>
      <c r="AC107" s="467"/>
      <c r="AD107" s="467"/>
      <c r="AE107" s="467"/>
      <c r="AF107" s="466"/>
      <c r="AG107" s="467"/>
    </row>
    <row r="108" spans="1:33">
      <c r="A108" s="350" t="s">
        <v>114</v>
      </c>
      <c r="B108" s="351" t="s">
        <v>139</v>
      </c>
      <c r="C108" s="353" t="s">
        <v>723</v>
      </c>
      <c r="D108" s="350">
        <v>137759</v>
      </c>
      <c r="E108" s="350">
        <v>8</v>
      </c>
      <c r="F108" s="464">
        <f t="shared" si="8"/>
        <v>258952</v>
      </c>
      <c r="G108" s="465">
        <f t="shared" si="9"/>
        <v>252748</v>
      </c>
      <c r="H108" s="466">
        <v>161103</v>
      </c>
      <c r="I108" s="473">
        <v>78172</v>
      </c>
      <c r="J108" s="466">
        <v>12346</v>
      </c>
      <c r="K108" s="473">
        <v>16564</v>
      </c>
      <c r="L108" s="466">
        <v>85503</v>
      </c>
      <c r="M108" s="466">
        <v>0</v>
      </c>
      <c r="N108" s="466">
        <v>0</v>
      </c>
      <c r="O108" s="473">
        <v>158012</v>
      </c>
      <c r="P108" s="474">
        <v>0</v>
      </c>
      <c r="Q108" s="474">
        <v>0</v>
      </c>
      <c r="R108" s="466">
        <v>0</v>
      </c>
      <c r="S108" s="474">
        <v>0</v>
      </c>
      <c r="T108" s="464">
        <f t="shared" si="10"/>
        <v>0</v>
      </c>
      <c r="U108" s="465">
        <f t="shared" si="11"/>
        <v>0</v>
      </c>
      <c r="V108" s="466"/>
      <c r="W108" s="467"/>
      <c r="X108" s="466"/>
      <c r="Y108" s="467"/>
      <c r="Z108" s="466"/>
      <c r="AA108" s="466"/>
      <c r="AB108" s="466"/>
      <c r="AC108" s="467"/>
      <c r="AD108" s="467"/>
      <c r="AE108" s="467"/>
      <c r="AF108" s="466"/>
      <c r="AG108" s="467"/>
    </row>
    <row r="109" spans="1:33">
      <c r="A109" s="350" t="s">
        <v>114</v>
      </c>
      <c r="B109" s="351" t="s">
        <v>140</v>
      </c>
      <c r="C109" s="352"/>
      <c r="D109" s="350">
        <v>138187</v>
      </c>
      <c r="E109" s="350">
        <v>7</v>
      </c>
      <c r="F109" s="464">
        <f t="shared" si="8"/>
        <v>983930</v>
      </c>
      <c r="G109" s="465">
        <f t="shared" si="9"/>
        <v>1027692</v>
      </c>
      <c r="H109" s="466">
        <v>629921</v>
      </c>
      <c r="I109" s="473">
        <v>258155</v>
      </c>
      <c r="J109" s="466">
        <v>30164</v>
      </c>
      <c r="K109" s="473">
        <v>23268</v>
      </c>
      <c r="L109" s="466">
        <v>323845</v>
      </c>
      <c r="M109" s="466">
        <v>0</v>
      </c>
      <c r="N109" s="466">
        <v>0</v>
      </c>
      <c r="O109" s="473">
        <v>746269</v>
      </c>
      <c r="P109" s="474">
        <v>0</v>
      </c>
      <c r="Q109" s="474">
        <v>0</v>
      </c>
      <c r="R109" s="466">
        <v>0</v>
      </c>
      <c r="S109" s="474">
        <v>0</v>
      </c>
      <c r="T109" s="464">
        <f t="shared" si="10"/>
        <v>0</v>
      </c>
      <c r="U109" s="465">
        <f t="shared" si="11"/>
        <v>0</v>
      </c>
      <c r="V109" s="466"/>
      <c r="W109" s="467"/>
      <c r="X109" s="466"/>
      <c r="Y109" s="467"/>
      <c r="Z109" s="466"/>
      <c r="AA109" s="466"/>
      <c r="AB109" s="466"/>
      <c r="AC109" s="467"/>
      <c r="AD109" s="467"/>
      <c r="AE109" s="467"/>
      <c r="AF109" s="466"/>
      <c r="AG109" s="467"/>
    </row>
    <row r="110" spans="1:33" s="14" customFormat="1" ht="13.75" customHeight="1">
      <c r="A110" s="424" t="s">
        <v>141</v>
      </c>
      <c r="B110" s="355" t="s">
        <v>711</v>
      </c>
      <c r="C110" s="356"/>
      <c r="D110" s="357">
        <v>139940</v>
      </c>
      <c r="E110" s="358">
        <v>1</v>
      </c>
      <c r="F110" s="464">
        <f t="shared" si="8"/>
        <v>1151269</v>
      </c>
      <c r="G110" s="465">
        <f t="shared" si="9"/>
        <v>1166305</v>
      </c>
      <c r="H110" s="466">
        <v>916908</v>
      </c>
      <c r="I110" s="467">
        <v>488342</v>
      </c>
      <c r="J110" s="466">
        <v>9589</v>
      </c>
      <c r="K110" s="467">
        <v>5817</v>
      </c>
      <c r="L110" s="466">
        <v>224772</v>
      </c>
      <c r="M110" s="466">
        <v>0</v>
      </c>
      <c r="N110" s="466">
        <v>0</v>
      </c>
      <c r="O110" s="467">
        <v>672146</v>
      </c>
      <c r="P110" s="467">
        <v>0</v>
      </c>
      <c r="Q110" s="467">
        <v>0</v>
      </c>
      <c r="R110" s="466">
        <v>0</v>
      </c>
      <c r="S110" s="467">
        <v>0</v>
      </c>
      <c r="T110" s="464">
        <f t="shared" si="10"/>
        <v>225566</v>
      </c>
      <c r="U110" s="465">
        <f t="shared" si="11"/>
        <v>221637</v>
      </c>
      <c r="V110" s="466">
        <v>119738.5</v>
      </c>
      <c r="W110" s="467">
        <v>73237.5</v>
      </c>
      <c r="X110" s="466">
        <v>87822.5</v>
      </c>
      <c r="Y110" s="467">
        <v>52370.5</v>
      </c>
      <c r="Z110" s="466">
        <v>18005</v>
      </c>
      <c r="AA110" s="466">
        <v>0</v>
      </c>
      <c r="AB110" s="466">
        <v>0</v>
      </c>
      <c r="AC110" s="467">
        <v>96029</v>
      </c>
      <c r="AD110" s="467">
        <v>0</v>
      </c>
      <c r="AE110" s="467">
        <v>0</v>
      </c>
      <c r="AF110" s="466">
        <v>0</v>
      </c>
      <c r="AG110" s="467">
        <v>0</v>
      </c>
    </row>
    <row r="111" spans="1:33">
      <c r="A111" s="424" t="s">
        <v>141</v>
      </c>
      <c r="B111" s="355" t="s">
        <v>142</v>
      </c>
      <c r="C111" s="356"/>
      <c r="D111" s="357">
        <v>139959</v>
      </c>
      <c r="E111" s="358">
        <v>1</v>
      </c>
      <c r="F111" s="464">
        <f t="shared" si="8"/>
        <v>867177</v>
      </c>
      <c r="G111" s="465">
        <f t="shared" si="9"/>
        <v>869860.5</v>
      </c>
      <c r="H111" s="466">
        <v>776197</v>
      </c>
      <c r="I111" s="467">
        <v>671996.5</v>
      </c>
      <c r="J111" s="466">
        <v>27861</v>
      </c>
      <c r="K111" s="467">
        <v>12729</v>
      </c>
      <c r="L111" s="466">
        <v>63119</v>
      </c>
      <c r="M111" s="466">
        <v>0</v>
      </c>
      <c r="N111" s="466">
        <v>0</v>
      </c>
      <c r="O111" s="467">
        <v>185135</v>
      </c>
      <c r="P111" s="467">
        <v>0</v>
      </c>
      <c r="Q111" s="467">
        <v>0</v>
      </c>
      <c r="R111" s="466">
        <v>0</v>
      </c>
      <c r="S111" s="467">
        <v>0</v>
      </c>
      <c r="T111" s="464">
        <f t="shared" si="10"/>
        <v>280577.2</v>
      </c>
      <c r="U111" s="465">
        <f t="shared" si="11"/>
        <v>288941.90000000002</v>
      </c>
      <c r="V111" s="466">
        <v>224762.5</v>
      </c>
      <c r="W111" s="467">
        <v>190625.5</v>
      </c>
      <c r="X111" s="466">
        <v>38742.199999999997</v>
      </c>
      <c r="Y111" s="467">
        <v>31078.7</v>
      </c>
      <c r="Z111" s="466">
        <v>17072.5</v>
      </c>
      <c r="AA111" s="466">
        <v>0</v>
      </c>
      <c r="AB111" s="466">
        <v>0</v>
      </c>
      <c r="AC111" s="467">
        <v>67237.7</v>
      </c>
      <c r="AD111" s="467">
        <v>0</v>
      </c>
      <c r="AE111" s="467">
        <v>0</v>
      </c>
      <c r="AF111" s="466">
        <v>0</v>
      </c>
      <c r="AG111" s="467">
        <v>0</v>
      </c>
    </row>
    <row r="112" spans="1:33">
      <c r="A112" s="424" t="s">
        <v>141</v>
      </c>
      <c r="B112" s="355" t="s">
        <v>143</v>
      </c>
      <c r="C112" s="356"/>
      <c r="D112" s="357">
        <v>139755</v>
      </c>
      <c r="E112" s="358">
        <v>2</v>
      </c>
      <c r="F112" s="464">
        <f t="shared" si="8"/>
        <v>456127.53</v>
      </c>
      <c r="G112" s="465">
        <f t="shared" si="9"/>
        <v>481969.97</v>
      </c>
      <c r="H112" s="466">
        <v>429129.53</v>
      </c>
      <c r="I112" s="467">
        <v>203891.97</v>
      </c>
      <c r="J112" s="466">
        <v>15922</v>
      </c>
      <c r="K112" s="467">
        <v>3590</v>
      </c>
      <c r="L112" s="466">
        <v>11076</v>
      </c>
      <c r="M112" s="466">
        <v>0</v>
      </c>
      <c r="N112" s="466">
        <v>0</v>
      </c>
      <c r="O112" s="467">
        <v>274488</v>
      </c>
      <c r="P112" s="467">
        <v>0</v>
      </c>
      <c r="Q112" s="467">
        <v>0</v>
      </c>
      <c r="R112" s="466">
        <v>0</v>
      </c>
      <c r="S112" s="467">
        <v>0</v>
      </c>
      <c r="T112" s="464">
        <f t="shared" si="10"/>
        <v>375905.5</v>
      </c>
      <c r="U112" s="465">
        <f t="shared" si="11"/>
        <v>402738.5</v>
      </c>
      <c r="V112" s="466">
        <v>248047.5</v>
      </c>
      <c r="W112" s="467">
        <v>156332</v>
      </c>
      <c r="X112" s="466">
        <v>3066</v>
      </c>
      <c r="Y112" s="467">
        <v>3073</v>
      </c>
      <c r="Z112" s="466">
        <v>124792</v>
      </c>
      <c r="AA112" s="466">
        <v>0</v>
      </c>
      <c r="AB112" s="466">
        <v>0</v>
      </c>
      <c r="AC112" s="467">
        <v>243333.5</v>
      </c>
      <c r="AD112" s="467">
        <v>0</v>
      </c>
      <c r="AE112" s="467">
        <v>0</v>
      </c>
      <c r="AF112" s="466">
        <v>0</v>
      </c>
      <c r="AG112" s="467">
        <v>0</v>
      </c>
    </row>
    <row r="113" spans="1:33">
      <c r="A113" s="424" t="s">
        <v>141</v>
      </c>
      <c r="B113" s="355" t="s">
        <v>144</v>
      </c>
      <c r="C113" s="356" t="s">
        <v>727</v>
      </c>
      <c r="D113" s="357">
        <v>139931</v>
      </c>
      <c r="E113" s="358">
        <v>3</v>
      </c>
      <c r="F113" s="464">
        <f t="shared" si="8"/>
        <v>646339</v>
      </c>
      <c r="G113" s="465">
        <f t="shared" si="9"/>
        <v>648421</v>
      </c>
      <c r="H113" s="466">
        <v>514903</v>
      </c>
      <c r="I113" s="467">
        <v>410871</v>
      </c>
      <c r="J113" s="466">
        <v>4884</v>
      </c>
      <c r="K113" s="467">
        <v>2423</v>
      </c>
      <c r="L113" s="466">
        <v>126459</v>
      </c>
      <c r="M113" s="466">
        <v>0</v>
      </c>
      <c r="N113" s="466">
        <v>93</v>
      </c>
      <c r="O113" s="467">
        <v>235048</v>
      </c>
      <c r="P113" s="467">
        <v>0</v>
      </c>
      <c r="Q113" s="467">
        <v>79</v>
      </c>
      <c r="R113" s="466">
        <v>0</v>
      </c>
      <c r="S113" s="467">
        <v>0</v>
      </c>
      <c r="T113" s="464">
        <f t="shared" si="10"/>
        <v>61735</v>
      </c>
      <c r="U113" s="465">
        <f t="shared" si="11"/>
        <v>65013</v>
      </c>
      <c r="V113" s="466">
        <v>25101</v>
      </c>
      <c r="W113" s="467">
        <v>19852</v>
      </c>
      <c r="X113" s="466">
        <v>717</v>
      </c>
      <c r="Y113" s="467">
        <v>422</v>
      </c>
      <c r="Z113" s="466">
        <v>35911</v>
      </c>
      <c r="AA113" s="466">
        <v>0</v>
      </c>
      <c r="AB113" s="466">
        <v>6</v>
      </c>
      <c r="AC113" s="467">
        <v>44739</v>
      </c>
      <c r="AD113" s="467">
        <v>0</v>
      </c>
      <c r="AE113" s="467">
        <v>0</v>
      </c>
      <c r="AF113" s="466">
        <v>0</v>
      </c>
      <c r="AG113" s="467">
        <v>0</v>
      </c>
    </row>
    <row r="114" spans="1:33">
      <c r="A114" s="424" t="s">
        <v>141</v>
      </c>
      <c r="B114" s="355" t="s">
        <v>145</v>
      </c>
      <c r="C114" s="356" t="s">
        <v>727</v>
      </c>
      <c r="D114" s="357">
        <v>486840</v>
      </c>
      <c r="E114" s="358">
        <v>3</v>
      </c>
      <c r="F114" s="464">
        <f t="shared" si="8"/>
        <v>897521</v>
      </c>
      <c r="G114" s="465">
        <f t="shared" si="9"/>
        <v>967518</v>
      </c>
      <c r="H114" s="466">
        <v>597289</v>
      </c>
      <c r="I114" s="467">
        <v>385574</v>
      </c>
      <c r="J114" s="466">
        <v>950</v>
      </c>
      <c r="K114" s="467">
        <v>84</v>
      </c>
      <c r="L114" s="466">
        <v>299282</v>
      </c>
      <c r="M114" s="466">
        <v>0</v>
      </c>
      <c r="N114" s="466">
        <v>0</v>
      </c>
      <c r="O114" s="467">
        <v>581860</v>
      </c>
      <c r="P114" s="467">
        <v>0</v>
      </c>
      <c r="Q114" s="467">
        <v>0</v>
      </c>
      <c r="R114" s="466">
        <v>0</v>
      </c>
      <c r="S114" s="467">
        <v>0</v>
      </c>
      <c r="T114" s="464">
        <f t="shared" si="10"/>
        <v>56400.1</v>
      </c>
      <c r="U114" s="465">
        <f t="shared" si="11"/>
        <v>61855</v>
      </c>
      <c r="V114" s="466">
        <v>21377</v>
      </c>
      <c r="W114" s="467">
        <v>13647</v>
      </c>
      <c r="X114" s="466">
        <v>37</v>
      </c>
      <c r="Y114" s="467">
        <v>6</v>
      </c>
      <c r="Z114" s="466">
        <v>34986.1</v>
      </c>
      <c r="AA114" s="466">
        <v>0</v>
      </c>
      <c r="AB114" s="466">
        <v>0</v>
      </c>
      <c r="AC114" s="467">
        <v>48202</v>
      </c>
      <c r="AD114" s="467">
        <v>0</v>
      </c>
      <c r="AE114" s="467">
        <v>0</v>
      </c>
      <c r="AF114" s="466">
        <v>0</v>
      </c>
      <c r="AG114" s="467">
        <v>0</v>
      </c>
    </row>
    <row r="115" spans="1:33">
      <c r="A115" s="424" t="s">
        <v>141</v>
      </c>
      <c r="B115" s="355" t="s">
        <v>146</v>
      </c>
      <c r="C115" s="356"/>
      <c r="D115" s="357">
        <v>141334</v>
      </c>
      <c r="E115" s="358">
        <v>3</v>
      </c>
      <c r="F115" s="464">
        <f t="shared" si="8"/>
        <v>288395</v>
      </c>
      <c r="G115" s="465">
        <f t="shared" si="9"/>
        <v>280293</v>
      </c>
      <c r="H115" s="466">
        <v>167150</v>
      </c>
      <c r="I115" s="467">
        <v>127921</v>
      </c>
      <c r="J115" s="466">
        <v>13775</v>
      </c>
      <c r="K115" s="467">
        <v>11674</v>
      </c>
      <c r="L115" s="466">
        <v>107470</v>
      </c>
      <c r="M115" s="466">
        <v>0</v>
      </c>
      <c r="N115" s="466">
        <v>0</v>
      </c>
      <c r="O115" s="467">
        <v>140698</v>
      </c>
      <c r="P115" s="467">
        <v>0</v>
      </c>
      <c r="Q115" s="467">
        <v>0</v>
      </c>
      <c r="R115" s="466">
        <v>0</v>
      </c>
      <c r="S115" s="467">
        <v>0</v>
      </c>
      <c r="T115" s="464">
        <f t="shared" si="10"/>
        <v>47340</v>
      </c>
      <c r="U115" s="465">
        <f t="shared" si="11"/>
        <v>52589</v>
      </c>
      <c r="V115" s="466">
        <v>5526</v>
      </c>
      <c r="W115" s="467">
        <v>4643</v>
      </c>
      <c r="X115" s="466">
        <v>579</v>
      </c>
      <c r="Y115" s="467">
        <v>417</v>
      </c>
      <c r="Z115" s="466">
        <v>41235</v>
      </c>
      <c r="AA115" s="466">
        <v>0</v>
      </c>
      <c r="AB115" s="466">
        <v>0</v>
      </c>
      <c r="AC115" s="467">
        <v>47529</v>
      </c>
      <c r="AD115" s="467">
        <v>0</v>
      </c>
      <c r="AE115" s="467">
        <v>0</v>
      </c>
      <c r="AF115" s="466">
        <v>0</v>
      </c>
      <c r="AG115" s="467">
        <v>0</v>
      </c>
    </row>
    <row r="116" spans="1:33">
      <c r="A116" s="424" t="s">
        <v>141</v>
      </c>
      <c r="B116" s="355" t="s">
        <v>147</v>
      </c>
      <c r="C116" s="356"/>
      <c r="D116" s="357">
        <v>141264</v>
      </c>
      <c r="E116" s="358">
        <v>3</v>
      </c>
      <c r="F116" s="464">
        <f t="shared" si="8"/>
        <v>233522</v>
      </c>
      <c r="G116" s="465">
        <f t="shared" si="9"/>
        <v>241920</v>
      </c>
      <c r="H116" s="466">
        <v>175160</v>
      </c>
      <c r="I116" s="467">
        <v>148717</v>
      </c>
      <c r="J116" s="466">
        <v>1908</v>
      </c>
      <c r="K116" s="467">
        <v>942</v>
      </c>
      <c r="L116" s="466">
        <v>56051</v>
      </c>
      <c r="M116" s="466">
        <v>403</v>
      </c>
      <c r="N116" s="466">
        <v>0</v>
      </c>
      <c r="O116" s="467">
        <v>91992</v>
      </c>
      <c r="P116" s="467">
        <v>269</v>
      </c>
      <c r="Q116" s="467">
        <v>0</v>
      </c>
      <c r="R116" s="466">
        <v>0</v>
      </c>
      <c r="S116" s="467">
        <v>0</v>
      </c>
      <c r="T116" s="464">
        <f t="shared" si="10"/>
        <v>47024</v>
      </c>
      <c r="U116" s="465">
        <f t="shared" si="11"/>
        <v>48457</v>
      </c>
      <c r="V116" s="466">
        <v>10589</v>
      </c>
      <c r="W116" s="467">
        <v>8263</v>
      </c>
      <c r="X116" s="466">
        <v>557</v>
      </c>
      <c r="Y116" s="467">
        <v>389</v>
      </c>
      <c r="Z116" s="466">
        <v>35851</v>
      </c>
      <c r="AA116" s="466">
        <v>27</v>
      </c>
      <c r="AB116" s="466">
        <v>0</v>
      </c>
      <c r="AC116" s="467">
        <v>39760</v>
      </c>
      <c r="AD116" s="467">
        <v>45</v>
      </c>
      <c r="AE116" s="467">
        <v>0</v>
      </c>
      <c r="AF116" s="466">
        <v>0</v>
      </c>
      <c r="AG116" s="467">
        <v>0</v>
      </c>
    </row>
    <row r="117" spans="1:33">
      <c r="A117" s="424" t="s">
        <v>141</v>
      </c>
      <c r="B117" s="355" t="s">
        <v>148</v>
      </c>
      <c r="C117" s="356"/>
      <c r="D117" s="357">
        <v>138716</v>
      </c>
      <c r="E117" s="358">
        <v>4</v>
      </c>
      <c r="F117" s="464">
        <f t="shared" si="8"/>
        <v>151689</v>
      </c>
      <c r="G117" s="465">
        <f t="shared" si="9"/>
        <v>154957</v>
      </c>
      <c r="H117" s="466">
        <v>101702</v>
      </c>
      <c r="I117" s="467">
        <v>92255</v>
      </c>
      <c r="J117" s="466">
        <v>2780</v>
      </c>
      <c r="K117" s="467">
        <v>1819</v>
      </c>
      <c r="L117" s="466">
        <v>46614</v>
      </c>
      <c r="M117" s="466">
        <v>65</v>
      </c>
      <c r="N117" s="466">
        <v>528</v>
      </c>
      <c r="O117" s="467">
        <v>58301</v>
      </c>
      <c r="P117" s="467">
        <v>2106</v>
      </c>
      <c r="Q117" s="467">
        <v>476</v>
      </c>
      <c r="R117" s="466">
        <v>0</v>
      </c>
      <c r="S117" s="467">
        <v>0</v>
      </c>
      <c r="T117" s="464">
        <f t="shared" si="10"/>
        <v>6300</v>
      </c>
      <c r="U117" s="465">
        <f t="shared" si="11"/>
        <v>7033</v>
      </c>
      <c r="V117" s="466">
        <v>1864</v>
      </c>
      <c r="W117" s="467">
        <v>1297</v>
      </c>
      <c r="X117" s="466">
        <v>147</v>
      </c>
      <c r="Y117" s="467">
        <v>60</v>
      </c>
      <c r="Z117" s="466">
        <v>4283</v>
      </c>
      <c r="AA117" s="466">
        <v>0</v>
      </c>
      <c r="AB117" s="466">
        <v>6</v>
      </c>
      <c r="AC117" s="467">
        <v>5661</v>
      </c>
      <c r="AD117" s="467">
        <v>15</v>
      </c>
      <c r="AE117" s="467">
        <v>0</v>
      </c>
      <c r="AF117" s="466">
        <v>0</v>
      </c>
      <c r="AG117" s="467">
        <v>0</v>
      </c>
    </row>
    <row r="118" spans="1:33">
      <c r="A118" s="424" t="s">
        <v>141</v>
      </c>
      <c r="B118" s="359" t="s">
        <v>712</v>
      </c>
      <c r="C118" s="356"/>
      <c r="D118" s="357">
        <v>482149</v>
      </c>
      <c r="E118" s="358">
        <v>4</v>
      </c>
      <c r="F118" s="464">
        <f t="shared" si="8"/>
        <v>151426</v>
      </c>
      <c r="G118" s="465">
        <f t="shared" si="9"/>
        <v>154709</v>
      </c>
      <c r="H118" s="466">
        <v>125287</v>
      </c>
      <c r="I118" s="467">
        <v>96932</v>
      </c>
      <c r="J118" s="466">
        <v>1705</v>
      </c>
      <c r="K118" s="467">
        <v>846</v>
      </c>
      <c r="L118" s="466">
        <v>24410</v>
      </c>
      <c r="M118" s="466">
        <v>0</v>
      </c>
      <c r="N118" s="466">
        <v>24</v>
      </c>
      <c r="O118" s="467">
        <v>56486</v>
      </c>
      <c r="P118" s="467">
        <v>0</v>
      </c>
      <c r="Q118" s="467">
        <v>445</v>
      </c>
      <c r="R118" s="466">
        <v>0</v>
      </c>
      <c r="S118" s="467">
        <v>0</v>
      </c>
      <c r="T118" s="464">
        <f t="shared" si="10"/>
        <v>202899</v>
      </c>
      <c r="U118" s="465">
        <f t="shared" si="11"/>
        <v>208817</v>
      </c>
      <c r="V118" s="466">
        <v>177366</v>
      </c>
      <c r="W118" s="467">
        <v>151717</v>
      </c>
      <c r="X118" s="466">
        <v>12624</v>
      </c>
      <c r="Y118" s="467">
        <v>12150</v>
      </c>
      <c r="Z118" s="466">
        <v>12909</v>
      </c>
      <c r="AA118" s="466">
        <v>0</v>
      </c>
      <c r="AB118" s="466">
        <v>0</v>
      </c>
      <c r="AC118" s="467">
        <v>44950</v>
      </c>
      <c r="AD118" s="467">
        <v>0</v>
      </c>
      <c r="AE118" s="467">
        <v>0</v>
      </c>
      <c r="AF118" s="466">
        <v>0</v>
      </c>
      <c r="AG118" s="467">
        <v>0</v>
      </c>
    </row>
    <row r="119" spans="1:33">
      <c r="A119" s="424" t="s">
        <v>141</v>
      </c>
      <c r="B119" s="355" t="s">
        <v>149</v>
      </c>
      <c r="C119" s="360"/>
      <c r="D119" s="357">
        <v>139311</v>
      </c>
      <c r="E119" s="358">
        <v>4</v>
      </c>
      <c r="F119" s="464">
        <f t="shared" si="8"/>
        <v>158345</v>
      </c>
      <c r="G119" s="465">
        <f t="shared" si="9"/>
        <v>156238</v>
      </c>
      <c r="H119" s="466">
        <v>96135</v>
      </c>
      <c r="I119" s="467">
        <v>46487</v>
      </c>
      <c r="J119" s="466">
        <v>2187</v>
      </c>
      <c r="K119" s="467">
        <v>179</v>
      </c>
      <c r="L119" s="466">
        <v>60023</v>
      </c>
      <c r="M119" s="466">
        <v>0</v>
      </c>
      <c r="N119" s="466">
        <v>0</v>
      </c>
      <c r="O119" s="467">
        <v>109572</v>
      </c>
      <c r="P119" s="467">
        <v>0</v>
      </c>
      <c r="Q119" s="467">
        <v>0</v>
      </c>
      <c r="R119" s="466">
        <v>0</v>
      </c>
      <c r="S119" s="467">
        <v>0</v>
      </c>
      <c r="T119" s="464">
        <f t="shared" si="10"/>
        <v>8883</v>
      </c>
      <c r="U119" s="465">
        <f t="shared" si="11"/>
        <v>11396</v>
      </c>
      <c r="V119" s="466">
        <v>3953</v>
      </c>
      <c r="W119" s="467">
        <v>1542</v>
      </c>
      <c r="X119" s="466">
        <v>103</v>
      </c>
      <c r="Y119" s="467">
        <v>76</v>
      </c>
      <c r="Z119" s="466">
        <v>4827</v>
      </c>
      <c r="AA119" s="466">
        <v>0</v>
      </c>
      <c r="AB119" s="466">
        <v>0</v>
      </c>
      <c r="AC119" s="467">
        <v>9778</v>
      </c>
      <c r="AD119" s="467">
        <v>0</v>
      </c>
      <c r="AE119" s="467">
        <v>0</v>
      </c>
      <c r="AF119" s="466">
        <v>0</v>
      </c>
      <c r="AG119" s="467">
        <v>0</v>
      </c>
    </row>
    <row r="120" spans="1:33">
      <c r="A120" s="424" t="s">
        <v>141</v>
      </c>
      <c r="B120" s="355" t="s">
        <v>150</v>
      </c>
      <c r="C120" s="356" t="s">
        <v>715</v>
      </c>
      <c r="D120" s="357">
        <v>139366</v>
      </c>
      <c r="E120" s="358">
        <v>4</v>
      </c>
      <c r="F120" s="464">
        <f t="shared" si="8"/>
        <v>170962</v>
      </c>
      <c r="G120" s="465">
        <f t="shared" si="9"/>
        <v>174302</v>
      </c>
      <c r="H120" s="466">
        <v>123461</v>
      </c>
      <c r="I120" s="467">
        <v>92901</v>
      </c>
      <c r="J120" s="466">
        <v>8298</v>
      </c>
      <c r="K120" s="467">
        <v>6329</v>
      </c>
      <c r="L120" s="466">
        <v>39203</v>
      </c>
      <c r="M120" s="466">
        <v>0</v>
      </c>
      <c r="N120" s="466">
        <v>0</v>
      </c>
      <c r="O120" s="467">
        <v>75072</v>
      </c>
      <c r="P120" s="467">
        <v>0</v>
      </c>
      <c r="Q120" s="467">
        <v>0</v>
      </c>
      <c r="R120" s="466">
        <v>0</v>
      </c>
      <c r="S120" s="467">
        <v>0</v>
      </c>
      <c r="T120" s="464">
        <f t="shared" si="10"/>
        <v>24713</v>
      </c>
      <c r="U120" s="465">
        <f t="shared" si="11"/>
        <v>24626</v>
      </c>
      <c r="V120" s="466">
        <v>7588</v>
      </c>
      <c r="W120" s="467">
        <v>5969</v>
      </c>
      <c r="X120" s="466">
        <v>532</v>
      </c>
      <c r="Y120" s="467">
        <v>157</v>
      </c>
      <c r="Z120" s="466">
        <v>16593</v>
      </c>
      <c r="AA120" s="466">
        <v>0</v>
      </c>
      <c r="AB120" s="466">
        <v>0</v>
      </c>
      <c r="AC120" s="467">
        <v>18500</v>
      </c>
      <c r="AD120" s="467">
        <v>0</v>
      </c>
      <c r="AE120" s="467">
        <v>0</v>
      </c>
      <c r="AF120" s="466">
        <v>0</v>
      </c>
      <c r="AG120" s="467">
        <v>0</v>
      </c>
    </row>
    <row r="121" spans="1:33">
      <c r="A121" s="424" t="s">
        <v>141</v>
      </c>
      <c r="B121" s="355" t="s">
        <v>151</v>
      </c>
      <c r="C121" s="425" t="s">
        <v>901</v>
      </c>
      <c r="D121" s="426">
        <v>139719</v>
      </c>
      <c r="E121" s="427">
        <v>5</v>
      </c>
      <c r="F121" s="464">
        <f t="shared" si="8"/>
        <v>68018</v>
      </c>
      <c r="G121" s="465">
        <f t="shared" si="9"/>
        <v>69838</v>
      </c>
      <c r="H121" s="466">
        <v>55227</v>
      </c>
      <c r="I121" s="467">
        <v>48955</v>
      </c>
      <c r="J121" s="466">
        <v>120</v>
      </c>
      <c r="K121" s="467">
        <v>195</v>
      </c>
      <c r="L121" s="466">
        <v>11818</v>
      </c>
      <c r="M121" s="466">
        <v>0</v>
      </c>
      <c r="N121" s="466">
        <v>853</v>
      </c>
      <c r="O121" s="467">
        <v>19532</v>
      </c>
      <c r="P121" s="467">
        <v>0</v>
      </c>
      <c r="Q121" s="467">
        <v>1156</v>
      </c>
      <c r="R121" s="466">
        <v>0</v>
      </c>
      <c r="S121" s="467">
        <v>0</v>
      </c>
      <c r="T121" s="464">
        <f t="shared" si="10"/>
        <v>6372</v>
      </c>
      <c r="U121" s="465">
        <f t="shared" si="11"/>
        <v>5183</v>
      </c>
      <c r="V121" s="466">
        <v>4783</v>
      </c>
      <c r="W121" s="467">
        <v>2104</v>
      </c>
      <c r="X121" s="466">
        <v>0</v>
      </c>
      <c r="Y121" s="467">
        <v>0</v>
      </c>
      <c r="Z121" s="466">
        <v>1537</v>
      </c>
      <c r="AA121" s="466">
        <v>0</v>
      </c>
      <c r="AB121" s="466">
        <v>52</v>
      </c>
      <c r="AC121" s="467">
        <v>3048</v>
      </c>
      <c r="AD121" s="467">
        <v>0</v>
      </c>
      <c r="AE121" s="467">
        <v>31</v>
      </c>
      <c r="AF121" s="466">
        <v>0</v>
      </c>
      <c r="AG121" s="467">
        <v>0</v>
      </c>
    </row>
    <row r="122" spans="1:33">
      <c r="A122" s="424" t="s">
        <v>141</v>
      </c>
      <c r="B122" s="355" t="s">
        <v>152</v>
      </c>
      <c r="C122" s="356"/>
      <c r="D122" s="357">
        <v>139861</v>
      </c>
      <c r="E122" s="358">
        <v>4</v>
      </c>
      <c r="F122" s="464">
        <f t="shared" si="8"/>
        <v>177097</v>
      </c>
      <c r="G122" s="465">
        <f t="shared" si="9"/>
        <v>169162</v>
      </c>
      <c r="H122" s="466">
        <v>157960</v>
      </c>
      <c r="I122" s="467">
        <v>132573</v>
      </c>
      <c r="J122" s="466">
        <v>1908</v>
      </c>
      <c r="K122" s="467">
        <v>1604</v>
      </c>
      <c r="L122" s="466">
        <v>17229</v>
      </c>
      <c r="M122" s="466">
        <v>0</v>
      </c>
      <c r="N122" s="466">
        <v>0</v>
      </c>
      <c r="O122" s="467">
        <v>34985</v>
      </c>
      <c r="P122" s="467">
        <v>0</v>
      </c>
      <c r="Q122" s="467">
        <v>0</v>
      </c>
      <c r="R122" s="466">
        <v>0</v>
      </c>
      <c r="S122" s="467">
        <v>0</v>
      </c>
      <c r="T122" s="464">
        <f t="shared" si="10"/>
        <v>23185</v>
      </c>
      <c r="U122" s="465">
        <f t="shared" si="11"/>
        <v>25707</v>
      </c>
      <c r="V122" s="466">
        <v>3466</v>
      </c>
      <c r="W122" s="467">
        <v>2838</v>
      </c>
      <c r="X122" s="466">
        <v>384</v>
      </c>
      <c r="Y122" s="467">
        <v>158</v>
      </c>
      <c r="Z122" s="466">
        <v>19335</v>
      </c>
      <c r="AA122" s="466">
        <v>0</v>
      </c>
      <c r="AB122" s="466">
        <v>0</v>
      </c>
      <c r="AC122" s="467">
        <v>22711</v>
      </c>
      <c r="AD122" s="467">
        <v>0</v>
      </c>
      <c r="AE122" s="467">
        <v>0</v>
      </c>
      <c r="AF122" s="466">
        <v>0</v>
      </c>
      <c r="AG122" s="467">
        <v>0</v>
      </c>
    </row>
    <row r="123" spans="1:33">
      <c r="A123" s="424" t="s">
        <v>141</v>
      </c>
      <c r="B123" s="355" t="s">
        <v>154</v>
      </c>
      <c r="C123" s="356" t="s">
        <v>716</v>
      </c>
      <c r="D123" s="357">
        <v>139764</v>
      </c>
      <c r="E123" s="358">
        <v>4</v>
      </c>
      <c r="F123" s="464">
        <f t="shared" si="8"/>
        <v>63291</v>
      </c>
      <c r="G123" s="465">
        <f t="shared" si="9"/>
        <v>63318</v>
      </c>
      <c r="H123" s="466">
        <v>39185</v>
      </c>
      <c r="I123" s="467">
        <v>34388</v>
      </c>
      <c r="J123" s="466">
        <v>1327</v>
      </c>
      <c r="K123" s="467">
        <v>1620</v>
      </c>
      <c r="L123" s="466">
        <v>22779</v>
      </c>
      <c r="M123" s="466">
        <v>0</v>
      </c>
      <c r="N123" s="466">
        <v>0</v>
      </c>
      <c r="O123" s="467">
        <v>27310</v>
      </c>
      <c r="P123" s="467">
        <v>0</v>
      </c>
      <c r="Q123" s="467">
        <v>0</v>
      </c>
      <c r="R123" s="466">
        <v>0</v>
      </c>
      <c r="S123" s="467">
        <v>0</v>
      </c>
      <c r="T123" s="464">
        <f t="shared" si="10"/>
        <v>10484</v>
      </c>
      <c r="U123" s="465">
        <f t="shared" si="11"/>
        <v>11513</v>
      </c>
      <c r="V123" s="466">
        <v>4230</v>
      </c>
      <c r="W123" s="467">
        <v>2651</v>
      </c>
      <c r="X123" s="466">
        <v>234</v>
      </c>
      <c r="Y123" s="467">
        <v>0</v>
      </c>
      <c r="Z123" s="466">
        <v>6020</v>
      </c>
      <c r="AA123" s="466">
        <v>0</v>
      </c>
      <c r="AB123" s="466">
        <v>0</v>
      </c>
      <c r="AC123" s="467">
        <v>8862</v>
      </c>
      <c r="AD123" s="467">
        <v>0</v>
      </c>
      <c r="AE123" s="467">
        <v>0</v>
      </c>
      <c r="AF123" s="466">
        <v>0</v>
      </c>
      <c r="AG123" s="467">
        <v>0</v>
      </c>
    </row>
    <row r="124" spans="1:33">
      <c r="A124" s="424" t="s">
        <v>141</v>
      </c>
      <c r="B124" s="355" t="s">
        <v>153</v>
      </c>
      <c r="C124" s="356"/>
      <c r="D124" s="358">
        <v>482680</v>
      </c>
      <c r="E124" s="358">
        <v>4</v>
      </c>
      <c r="F124" s="464">
        <f t="shared" si="8"/>
        <v>463050</v>
      </c>
      <c r="G124" s="465">
        <f t="shared" si="9"/>
        <v>466916</v>
      </c>
      <c r="H124" s="466">
        <v>384108</v>
      </c>
      <c r="I124" s="467">
        <v>299935</v>
      </c>
      <c r="J124" s="466">
        <v>8254</v>
      </c>
      <c r="K124" s="467">
        <v>4923</v>
      </c>
      <c r="L124" s="466">
        <v>70688</v>
      </c>
      <c r="M124" s="466">
        <v>0</v>
      </c>
      <c r="N124" s="466">
        <v>0</v>
      </c>
      <c r="O124" s="467">
        <v>162058</v>
      </c>
      <c r="P124" s="467">
        <v>0</v>
      </c>
      <c r="Q124" s="467">
        <v>0</v>
      </c>
      <c r="R124" s="466">
        <v>0</v>
      </c>
      <c r="S124" s="467">
        <v>0</v>
      </c>
      <c r="T124" s="464">
        <f t="shared" si="10"/>
        <v>14938</v>
      </c>
      <c r="U124" s="465">
        <f t="shared" si="11"/>
        <v>15946</v>
      </c>
      <c r="V124" s="466">
        <v>8145</v>
      </c>
      <c r="W124" s="467">
        <v>5744</v>
      </c>
      <c r="X124" s="466">
        <v>927</v>
      </c>
      <c r="Y124" s="467">
        <v>545</v>
      </c>
      <c r="Z124" s="466">
        <v>5866</v>
      </c>
      <c r="AA124" s="466">
        <v>0</v>
      </c>
      <c r="AB124" s="466">
        <v>0</v>
      </c>
      <c r="AC124" s="467">
        <v>9657</v>
      </c>
      <c r="AD124" s="467">
        <v>0</v>
      </c>
      <c r="AE124" s="467">
        <v>0</v>
      </c>
      <c r="AF124" s="466">
        <v>0</v>
      </c>
      <c r="AG124" s="467">
        <v>0</v>
      </c>
    </row>
    <row r="125" spans="1:33">
      <c r="A125" s="424" t="s">
        <v>141</v>
      </c>
      <c r="B125" s="355" t="s">
        <v>155</v>
      </c>
      <c r="C125" s="455" t="s">
        <v>911</v>
      </c>
      <c r="D125" s="357">
        <v>140960</v>
      </c>
      <c r="E125" s="358">
        <v>5</v>
      </c>
      <c r="F125" s="464">
        <f t="shared" si="8"/>
        <v>103628</v>
      </c>
      <c r="G125" s="465">
        <f t="shared" si="9"/>
        <v>93227</v>
      </c>
      <c r="H125" s="466">
        <v>83331</v>
      </c>
      <c r="I125" s="467">
        <v>57189</v>
      </c>
      <c r="J125" s="466">
        <v>216</v>
      </c>
      <c r="K125" s="467">
        <v>297</v>
      </c>
      <c r="L125" s="466">
        <v>20081</v>
      </c>
      <c r="M125" s="466">
        <v>0</v>
      </c>
      <c r="N125" s="466">
        <v>0</v>
      </c>
      <c r="O125" s="467">
        <v>35741</v>
      </c>
      <c r="P125" s="467">
        <v>0</v>
      </c>
      <c r="Q125" s="467">
        <v>0</v>
      </c>
      <c r="R125" s="466">
        <v>0</v>
      </c>
      <c r="S125" s="467">
        <v>0</v>
      </c>
      <c r="T125" s="464">
        <f t="shared" si="10"/>
        <v>3681</v>
      </c>
      <c r="U125" s="465">
        <f t="shared" si="11"/>
        <v>4540</v>
      </c>
      <c r="V125" s="466">
        <v>1569</v>
      </c>
      <c r="W125" s="467">
        <v>1720</v>
      </c>
      <c r="X125" s="466">
        <v>1404</v>
      </c>
      <c r="Y125" s="467">
        <v>1632</v>
      </c>
      <c r="Z125" s="466">
        <v>708</v>
      </c>
      <c r="AA125" s="466">
        <v>0</v>
      </c>
      <c r="AB125" s="466">
        <v>0</v>
      </c>
      <c r="AC125" s="467">
        <v>1188</v>
      </c>
      <c r="AD125" s="467">
        <v>0</v>
      </c>
      <c r="AE125" s="467">
        <v>0</v>
      </c>
      <c r="AF125" s="466">
        <v>0</v>
      </c>
      <c r="AG125" s="467">
        <v>0</v>
      </c>
    </row>
    <row r="126" spans="1:33">
      <c r="A126" s="424" t="s">
        <v>141</v>
      </c>
      <c r="B126" s="355" t="s">
        <v>160</v>
      </c>
      <c r="C126" s="356"/>
      <c r="D126" s="357">
        <v>138558</v>
      </c>
      <c r="E126" s="428">
        <v>6</v>
      </c>
      <c r="F126" s="464">
        <f t="shared" si="8"/>
        <v>97639</v>
      </c>
      <c r="G126" s="465">
        <f t="shared" si="9"/>
        <v>93270</v>
      </c>
      <c r="H126" s="466">
        <v>81705</v>
      </c>
      <c r="I126" s="467">
        <v>55600</v>
      </c>
      <c r="J126" s="466">
        <v>3508</v>
      </c>
      <c r="K126" s="467">
        <v>4287</v>
      </c>
      <c r="L126" s="466">
        <v>12426</v>
      </c>
      <c r="M126" s="466">
        <v>0</v>
      </c>
      <c r="N126" s="466">
        <v>0</v>
      </c>
      <c r="O126" s="467">
        <v>33383</v>
      </c>
      <c r="P126" s="467">
        <v>0</v>
      </c>
      <c r="Q126" s="467">
        <v>0</v>
      </c>
      <c r="R126" s="466">
        <v>0</v>
      </c>
      <c r="S126" s="467">
        <v>0</v>
      </c>
      <c r="T126" s="464">
        <f t="shared" si="10"/>
        <v>0</v>
      </c>
      <c r="U126" s="465">
        <f t="shared" si="11"/>
        <v>0</v>
      </c>
      <c r="V126" s="466"/>
      <c r="W126" s="467"/>
      <c r="X126" s="466"/>
      <c r="Y126" s="467"/>
      <c r="Z126" s="466"/>
      <c r="AA126" s="466"/>
      <c r="AB126" s="466"/>
      <c r="AC126" s="467"/>
      <c r="AD126" s="467"/>
      <c r="AE126" s="467"/>
      <c r="AF126" s="466"/>
      <c r="AG126" s="467"/>
    </row>
    <row r="127" spans="1:33">
      <c r="A127" s="424" t="s">
        <v>141</v>
      </c>
      <c r="B127" s="355" t="s">
        <v>156</v>
      </c>
      <c r="C127" s="360"/>
      <c r="D127" s="357">
        <v>139250</v>
      </c>
      <c r="E127" s="358">
        <v>6</v>
      </c>
      <c r="F127" s="464">
        <f t="shared" si="8"/>
        <v>83041</v>
      </c>
      <c r="G127" s="465">
        <f t="shared" si="9"/>
        <v>81564</v>
      </c>
      <c r="H127" s="466">
        <v>59017</v>
      </c>
      <c r="I127" s="467">
        <v>35795</v>
      </c>
      <c r="J127" s="466">
        <v>928</v>
      </c>
      <c r="K127" s="467">
        <v>194</v>
      </c>
      <c r="L127" s="466">
        <v>23096</v>
      </c>
      <c r="M127" s="466">
        <v>0</v>
      </c>
      <c r="N127" s="466">
        <v>0</v>
      </c>
      <c r="O127" s="467">
        <v>45575</v>
      </c>
      <c r="P127" s="467">
        <v>0</v>
      </c>
      <c r="Q127" s="467">
        <v>0</v>
      </c>
      <c r="R127" s="466">
        <v>0</v>
      </c>
      <c r="S127" s="467">
        <v>0</v>
      </c>
      <c r="T127" s="464">
        <f t="shared" si="10"/>
        <v>0</v>
      </c>
      <c r="U127" s="465">
        <f t="shared" si="11"/>
        <v>0</v>
      </c>
      <c r="V127" s="466"/>
      <c r="W127" s="467"/>
      <c r="X127" s="466"/>
      <c r="Y127" s="467"/>
      <c r="Z127" s="466"/>
      <c r="AA127" s="466"/>
      <c r="AB127" s="466"/>
      <c r="AC127" s="467"/>
      <c r="AD127" s="467"/>
      <c r="AE127" s="467"/>
      <c r="AF127" s="466"/>
      <c r="AG127" s="467"/>
    </row>
    <row r="128" spans="1:33">
      <c r="A128" s="424" t="s">
        <v>141</v>
      </c>
      <c r="B128" s="355" t="s">
        <v>157</v>
      </c>
      <c r="C128" s="360"/>
      <c r="D128" s="357">
        <v>139463</v>
      </c>
      <c r="E128" s="358">
        <v>6</v>
      </c>
      <c r="F128" s="464">
        <f t="shared" si="8"/>
        <v>118623</v>
      </c>
      <c r="G128" s="465">
        <f t="shared" si="9"/>
        <v>114613</v>
      </c>
      <c r="H128" s="466">
        <v>97495</v>
      </c>
      <c r="I128" s="467">
        <v>76526</v>
      </c>
      <c r="J128" s="466">
        <v>4950</v>
      </c>
      <c r="K128" s="467">
        <v>3399</v>
      </c>
      <c r="L128" s="466">
        <v>16178</v>
      </c>
      <c r="M128" s="466">
        <v>0</v>
      </c>
      <c r="N128" s="466">
        <v>0</v>
      </c>
      <c r="O128" s="467">
        <v>34688</v>
      </c>
      <c r="P128" s="467">
        <v>0</v>
      </c>
      <c r="Q128" s="467">
        <v>0</v>
      </c>
      <c r="R128" s="466">
        <v>0</v>
      </c>
      <c r="S128" s="467">
        <v>0</v>
      </c>
      <c r="T128" s="464">
        <f t="shared" si="10"/>
        <v>0</v>
      </c>
      <c r="U128" s="465">
        <f t="shared" si="11"/>
        <v>0</v>
      </c>
      <c r="V128" s="466"/>
      <c r="W128" s="467"/>
      <c r="X128" s="466"/>
      <c r="Y128" s="467"/>
      <c r="Z128" s="466"/>
      <c r="AA128" s="466"/>
      <c r="AB128" s="466"/>
      <c r="AC128" s="467"/>
      <c r="AD128" s="467"/>
      <c r="AE128" s="467"/>
      <c r="AF128" s="466"/>
      <c r="AG128" s="467"/>
    </row>
    <row r="129" spans="1:33">
      <c r="A129" s="424" t="s">
        <v>141</v>
      </c>
      <c r="B129" s="355" t="s">
        <v>158</v>
      </c>
      <c r="C129" s="360"/>
      <c r="D129" s="357">
        <v>447689</v>
      </c>
      <c r="E129" s="358">
        <v>6</v>
      </c>
      <c r="F129" s="464">
        <f t="shared" si="8"/>
        <v>312109</v>
      </c>
      <c r="G129" s="465">
        <f t="shared" si="9"/>
        <v>304852</v>
      </c>
      <c r="H129" s="466">
        <v>302651</v>
      </c>
      <c r="I129" s="467">
        <v>202618</v>
      </c>
      <c r="J129" s="466">
        <v>801</v>
      </c>
      <c r="K129" s="467">
        <v>601</v>
      </c>
      <c r="L129" s="466">
        <v>8657</v>
      </c>
      <c r="M129" s="466">
        <v>0</v>
      </c>
      <c r="N129" s="466">
        <v>0</v>
      </c>
      <c r="O129" s="467">
        <v>101633</v>
      </c>
      <c r="P129" s="467">
        <v>0</v>
      </c>
      <c r="Q129" s="467">
        <v>0</v>
      </c>
      <c r="R129" s="466">
        <v>0</v>
      </c>
      <c r="S129" s="467">
        <v>0</v>
      </c>
      <c r="T129" s="464">
        <f t="shared" si="10"/>
        <v>0</v>
      </c>
      <c r="U129" s="465">
        <f t="shared" si="11"/>
        <v>0</v>
      </c>
      <c r="V129" s="466"/>
      <c r="W129" s="467"/>
      <c r="X129" s="466"/>
      <c r="Y129" s="467"/>
      <c r="Z129" s="466"/>
      <c r="AA129" s="466"/>
      <c r="AB129" s="466"/>
      <c r="AC129" s="467"/>
      <c r="AD129" s="467"/>
      <c r="AE129" s="467"/>
      <c r="AF129" s="466"/>
      <c r="AG129" s="467"/>
    </row>
    <row r="130" spans="1:33">
      <c r="A130" s="424" t="s">
        <v>141</v>
      </c>
      <c r="B130" s="355" t="s">
        <v>164</v>
      </c>
      <c r="C130" s="356"/>
      <c r="D130" s="357">
        <v>139968</v>
      </c>
      <c r="E130" s="358">
        <v>6</v>
      </c>
      <c r="F130" s="464">
        <f t="shared" si="8"/>
        <v>83361</v>
      </c>
      <c r="G130" s="465">
        <f t="shared" si="9"/>
        <v>77635</v>
      </c>
      <c r="H130" s="466">
        <v>57363</v>
      </c>
      <c r="I130" s="467">
        <v>39797</v>
      </c>
      <c r="J130" s="466">
        <v>6791</v>
      </c>
      <c r="K130" s="467">
        <v>3807</v>
      </c>
      <c r="L130" s="466">
        <v>19207</v>
      </c>
      <c r="M130" s="466">
        <v>0</v>
      </c>
      <c r="N130" s="466">
        <v>0</v>
      </c>
      <c r="O130" s="467">
        <v>34031</v>
      </c>
      <c r="P130" s="467">
        <v>0</v>
      </c>
      <c r="Q130" s="467">
        <v>0</v>
      </c>
      <c r="R130" s="466">
        <v>0</v>
      </c>
      <c r="S130" s="467">
        <v>0</v>
      </c>
      <c r="T130" s="464">
        <f t="shared" si="10"/>
        <v>0</v>
      </c>
      <c r="U130" s="465">
        <f t="shared" si="11"/>
        <v>0</v>
      </c>
      <c r="V130" s="466"/>
      <c r="W130" s="467"/>
      <c r="X130" s="466"/>
      <c r="Y130" s="467"/>
      <c r="Z130" s="466"/>
      <c r="AA130" s="466"/>
      <c r="AB130" s="466"/>
      <c r="AC130" s="467"/>
      <c r="AD130" s="467"/>
      <c r="AE130" s="467"/>
      <c r="AF130" s="466"/>
      <c r="AG130" s="467"/>
    </row>
    <row r="131" spans="1:33">
      <c r="A131" s="424" t="s">
        <v>141</v>
      </c>
      <c r="B131" s="355" t="s">
        <v>159</v>
      </c>
      <c r="C131" s="425" t="s">
        <v>901</v>
      </c>
      <c r="D131" s="358">
        <v>482158</v>
      </c>
      <c r="E131" s="508">
        <v>5</v>
      </c>
      <c r="F131" s="464">
        <f t="shared" si="8"/>
        <v>185924</v>
      </c>
      <c r="G131" s="465">
        <f t="shared" si="9"/>
        <v>195133</v>
      </c>
      <c r="H131" s="466">
        <v>105465</v>
      </c>
      <c r="I131" s="467">
        <v>82704</v>
      </c>
      <c r="J131" s="466">
        <v>1453</v>
      </c>
      <c r="K131" s="467">
        <v>1060</v>
      </c>
      <c r="L131" s="466">
        <v>77984</v>
      </c>
      <c r="M131" s="466">
        <v>1022</v>
      </c>
      <c r="N131" s="466">
        <v>0</v>
      </c>
      <c r="O131" s="467">
        <v>110635</v>
      </c>
      <c r="P131" s="467">
        <v>734</v>
      </c>
      <c r="Q131" s="467">
        <v>0</v>
      </c>
      <c r="R131" s="466">
        <v>0</v>
      </c>
      <c r="S131" s="467">
        <v>0</v>
      </c>
      <c r="T131" s="464">
        <f t="shared" si="10"/>
        <v>4734</v>
      </c>
      <c r="U131" s="465">
        <f t="shared" si="11"/>
        <v>6440</v>
      </c>
      <c r="V131" s="466">
        <v>141</v>
      </c>
      <c r="W131" s="467">
        <v>0</v>
      </c>
      <c r="X131" s="466">
        <v>120</v>
      </c>
      <c r="Y131" s="467">
        <v>0</v>
      </c>
      <c r="Z131" s="466">
        <v>4473</v>
      </c>
      <c r="AA131" s="466">
        <v>0</v>
      </c>
      <c r="AB131" s="466">
        <v>0</v>
      </c>
      <c r="AC131" s="467">
        <v>6440</v>
      </c>
      <c r="AD131" s="467">
        <v>0</v>
      </c>
      <c r="AE131" s="467">
        <v>0</v>
      </c>
      <c r="AF131" s="466">
        <v>0</v>
      </c>
      <c r="AG131" s="467">
        <v>0</v>
      </c>
    </row>
    <row r="132" spans="1:33">
      <c r="A132" s="424" t="s">
        <v>141</v>
      </c>
      <c r="B132" s="355" t="s">
        <v>161</v>
      </c>
      <c r="C132" s="360"/>
      <c r="D132" s="357">
        <v>138901</v>
      </c>
      <c r="E132" s="358">
        <v>7</v>
      </c>
      <c r="F132" s="464">
        <f t="shared" si="8"/>
        <v>44035</v>
      </c>
      <c r="G132" s="465">
        <f t="shared" si="9"/>
        <v>38213</v>
      </c>
      <c r="H132" s="466">
        <v>29646</v>
      </c>
      <c r="I132" s="467">
        <v>17716</v>
      </c>
      <c r="J132" s="466">
        <v>2469</v>
      </c>
      <c r="K132" s="467">
        <v>1231</v>
      </c>
      <c r="L132" s="466">
        <v>11920</v>
      </c>
      <c r="M132" s="466">
        <v>0</v>
      </c>
      <c r="N132" s="466">
        <v>0</v>
      </c>
      <c r="O132" s="467">
        <v>19266</v>
      </c>
      <c r="P132" s="467">
        <v>0</v>
      </c>
      <c r="Q132" s="467">
        <v>0</v>
      </c>
      <c r="R132" s="466">
        <v>0</v>
      </c>
      <c r="S132" s="467">
        <v>0</v>
      </c>
      <c r="T132" s="464">
        <f t="shared" si="10"/>
        <v>0</v>
      </c>
      <c r="U132" s="465">
        <f t="shared" si="11"/>
        <v>0</v>
      </c>
      <c r="V132" s="466"/>
      <c r="W132" s="467"/>
      <c r="X132" s="466"/>
      <c r="Y132" s="467"/>
      <c r="Z132" s="466"/>
      <c r="AA132" s="466"/>
      <c r="AB132" s="466"/>
      <c r="AC132" s="467"/>
      <c r="AD132" s="467"/>
      <c r="AE132" s="467"/>
      <c r="AF132" s="466"/>
      <c r="AG132" s="467"/>
    </row>
    <row r="133" spans="1:33">
      <c r="A133" s="424" t="s">
        <v>141</v>
      </c>
      <c r="B133" s="355" t="s">
        <v>162</v>
      </c>
      <c r="C133" s="360"/>
      <c r="D133" s="357">
        <v>139621</v>
      </c>
      <c r="E133" s="358">
        <v>7</v>
      </c>
      <c r="F133" s="464">
        <f t="shared" si="8"/>
        <v>66138</v>
      </c>
      <c r="G133" s="465">
        <f t="shared" si="9"/>
        <v>57702</v>
      </c>
      <c r="H133" s="466">
        <v>33961</v>
      </c>
      <c r="I133" s="467">
        <v>25476</v>
      </c>
      <c r="J133" s="466">
        <v>9920</v>
      </c>
      <c r="K133" s="467">
        <v>5442</v>
      </c>
      <c r="L133" s="466">
        <v>22257</v>
      </c>
      <c r="M133" s="466">
        <v>0</v>
      </c>
      <c r="N133" s="466">
        <v>0</v>
      </c>
      <c r="O133" s="467">
        <v>26784</v>
      </c>
      <c r="P133" s="467">
        <v>0</v>
      </c>
      <c r="Q133" s="467">
        <v>0</v>
      </c>
      <c r="R133" s="466">
        <v>0</v>
      </c>
      <c r="S133" s="467">
        <v>0</v>
      </c>
      <c r="T133" s="464">
        <f t="shared" si="10"/>
        <v>0</v>
      </c>
      <c r="U133" s="465">
        <f t="shared" si="11"/>
        <v>0</v>
      </c>
      <c r="V133" s="466"/>
      <c r="W133" s="467"/>
      <c r="X133" s="466"/>
      <c r="Y133" s="467"/>
      <c r="Z133" s="466"/>
      <c r="AA133" s="466"/>
      <c r="AB133" s="466"/>
      <c r="AC133" s="467"/>
      <c r="AD133" s="467"/>
      <c r="AE133" s="467"/>
      <c r="AF133" s="466"/>
      <c r="AG133" s="467"/>
    </row>
    <row r="134" spans="1:33">
      <c r="A134" s="424" t="s">
        <v>141</v>
      </c>
      <c r="B134" s="355" t="s">
        <v>163</v>
      </c>
      <c r="C134" s="360"/>
      <c r="D134" s="357">
        <v>139700</v>
      </c>
      <c r="E134" s="358">
        <v>7</v>
      </c>
      <c r="F134" s="464">
        <f t="shared" si="8"/>
        <v>132863</v>
      </c>
      <c r="G134" s="465">
        <f t="shared" si="9"/>
        <v>126890</v>
      </c>
      <c r="H134" s="466">
        <v>75119</v>
      </c>
      <c r="I134" s="467">
        <v>43460</v>
      </c>
      <c r="J134" s="466">
        <v>22988</v>
      </c>
      <c r="K134" s="467">
        <v>13014</v>
      </c>
      <c r="L134" s="466">
        <v>34756</v>
      </c>
      <c r="M134" s="466">
        <v>0</v>
      </c>
      <c r="N134" s="466">
        <v>0</v>
      </c>
      <c r="O134" s="467">
        <v>70416</v>
      </c>
      <c r="P134" s="467">
        <v>0</v>
      </c>
      <c r="Q134" s="467">
        <v>0</v>
      </c>
      <c r="R134" s="466">
        <v>0</v>
      </c>
      <c r="S134" s="467">
        <v>0</v>
      </c>
      <c r="T134" s="464">
        <f t="shared" si="10"/>
        <v>0</v>
      </c>
      <c r="U134" s="465">
        <f t="shared" si="11"/>
        <v>0</v>
      </c>
      <c r="V134" s="466"/>
      <c r="W134" s="467"/>
      <c r="X134" s="466"/>
      <c r="Y134" s="467"/>
      <c r="Z134" s="466"/>
      <c r="AA134" s="466"/>
      <c r="AB134" s="466"/>
      <c r="AC134" s="467"/>
      <c r="AD134" s="467"/>
      <c r="AE134" s="467"/>
      <c r="AF134" s="466"/>
      <c r="AG134" s="467"/>
    </row>
    <row r="135" spans="1:33">
      <c r="A135" s="424" t="s">
        <v>141</v>
      </c>
      <c r="B135" s="355" t="s">
        <v>165</v>
      </c>
      <c r="C135" s="360"/>
      <c r="D135" s="358">
        <v>482699</v>
      </c>
      <c r="E135" s="358">
        <v>7</v>
      </c>
      <c r="F135" s="464">
        <f t="shared" si="8"/>
        <v>59744</v>
      </c>
      <c r="G135" s="465">
        <f t="shared" si="9"/>
        <v>54128</v>
      </c>
      <c r="H135" s="466">
        <v>20148</v>
      </c>
      <c r="I135" s="467">
        <v>14937</v>
      </c>
      <c r="J135" s="466">
        <v>20109</v>
      </c>
      <c r="K135" s="467">
        <v>11023</v>
      </c>
      <c r="L135" s="466">
        <v>19487</v>
      </c>
      <c r="M135" s="466">
        <v>0</v>
      </c>
      <c r="N135" s="466">
        <v>0</v>
      </c>
      <c r="O135" s="467">
        <v>28168</v>
      </c>
      <c r="P135" s="467">
        <v>0</v>
      </c>
      <c r="Q135" s="467">
        <v>0</v>
      </c>
      <c r="R135" s="466">
        <v>0</v>
      </c>
      <c r="S135" s="467">
        <v>0</v>
      </c>
      <c r="T135" s="464">
        <f t="shared" si="10"/>
        <v>0</v>
      </c>
      <c r="U135" s="465">
        <f t="shared" si="11"/>
        <v>0</v>
      </c>
      <c r="V135" s="466"/>
      <c r="W135" s="467"/>
      <c r="X135" s="466"/>
      <c r="Y135" s="467"/>
      <c r="Z135" s="466"/>
      <c r="AA135" s="466"/>
      <c r="AB135" s="466"/>
      <c r="AC135" s="467"/>
      <c r="AD135" s="467"/>
      <c r="AE135" s="467"/>
      <c r="AF135" s="466"/>
      <c r="AG135" s="467"/>
    </row>
    <row r="136" spans="1:33" s="14" customFormat="1" ht="13.5" customHeight="1">
      <c r="A136" s="429" t="s">
        <v>141</v>
      </c>
      <c r="B136" s="340" t="s">
        <v>166</v>
      </c>
      <c r="C136" s="337"/>
      <c r="D136" s="339">
        <v>138682</v>
      </c>
      <c r="E136" s="339">
        <v>12</v>
      </c>
      <c r="F136" s="464">
        <f t="shared" si="8"/>
        <v>76635</v>
      </c>
      <c r="G136" s="465">
        <f t="shared" si="9"/>
        <v>70764</v>
      </c>
      <c r="H136" s="466">
        <v>29840</v>
      </c>
      <c r="I136" s="467">
        <v>15721</v>
      </c>
      <c r="J136" s="466"/>
      <c r="K136" s="467"/>
      <c r="L136" s="466">
        <v>46795</v>
      </c>
      <c r="M136" s="466">
        <v>0</v>
      </c>
      <c r="N136" s="466">
        <v>0</v>
      </c>
      <c r="O136" s="467">
        <v>55043</v>
      </c>
      <c r="P136" s="467">
        <v>0</v>
      </c>
      <c r="Q136" s="467">
        <v>0</v>
      </c>
      <c r="R136" s="466"/>
      <c r="S136" s="467"/>
      <c r="T136" s="464">
        <f t="shared" si="10"/>
        <v>0</v>
      </c>
      <c r="U136" s="465">
        <f t="shared" si="11"/>
        <v>0</v>
      </c>
      <c r="V136" s="466"/>
      <c r="W136" s="467"/>
      <c r="X136" s="466"/>
      <c r="Y136" s="467"/>
      <c r="Z136" s="466"/>
      <c r="AA136" s="466"/>
      <c r="AB136" s="466"/>
      <c r="AC136" s="467"/>
      <c r="AD136" s="467"/>
      <c r="AE136" s="467"/>
      <c r="AF136" s="466"/>
      <c r="AG136" s="467"/>
    </row>
    <row r="137" spans="1:33">
      <c r="A137" s="429" t="s">
        <v>141</v>
      </c>
      <c r="B137" s="340" t="s">
        <v>167</v>
      </c>
      <c r="C137" s="337"/>
      <c r="D137" s="339">
        <v>246813</v>
      </c>
      <c r="E137" s="339">
        <v>12</v>
      </c>
      <c r="F137" s="464">
        <f t="shared" si="8"/>
        <v>86294</v>
      </c>
      <c r="G137" s="465">
        <f t="shared" si="9"/>
        <v>79083</v>
      </c>
      <c r="H137" s="466">
        <v>64114</v>
      </c>
      <c r="I137" s="467">
        <v>49830</v>
      </c>
      <c r="J137" s="466"/>
      <c r="K137" s="467"/>
      <c r="L137" s="466">
        <v>22090</v>
      </c>
      <c r="M137" s="466">
        <v>90</v>
      </c>
      <c r="N137" s="466">
        <v>0</v>
      </c>
      <c r="O137" s="467">
        <v>29157</v>
      </c>
      <c r="P137" s="467">
        <v>96</v>
      </c>
      <c r="Q137" s="467">
        <v>0</v>
      </c>
      <c r="R137" s="466"/>
      <c r="S137" s="467"/>
      <c r="T137" s="464">
        <f t="shared" si="10"/>
        <v>0</v>
      </c>
      <c r="U137" s="465">
        <f t="shared" si="11"/>
        <v>0</v>
      </c>
      <c r="V137" s="466"/>
      <c r="W137" s="467"/>
      <c r="X137" s="466"/>
      <c r="Y137" s="467"/>
      <c r="Z137" s="466"/>
      <c r="AA137" s="466"/>
      <c r="AB137" s="466"/>
      <c r="AC137" s="467"/>
      <c r="AD137" s="467"/>
      <c r="AE137" s="467"/>
      <c r="AF137" s="466"/>
      <c r="AG137" s="467"/>
    </row>
    <row r="138" spans="1:33">
      <c r="A138" s="429" t="s">
        <v>141</v>
      </c>
      <c r="B138" s="340" t="s">
        <v>168</v>
      </c>
      <c r="C138" s="337"/>
      <c r="D138" s="339">
        <v>138840</v>
      </c>
      <c r="E138" s="339">
        <v>12</v>
      </c>
      <c r="F138" s="464">
        <f t="shared" si="8"/>
        <v>87610</v>
      </c>
      <c r="G138" s="465">
        <f t="shared" si="9"/>
        <v>79903</v>
      </c>
      <c r="H138" s="466">
        <v>46838</v>
      </c>
      <c r="I138" s="467">
        <v>23300</v>
      </c>
      <c r="J138" s="466"/>
      <c r="K138" s="467"/>
      <c r="L138" s="466">
        <v>40772</v>
      </c>
      <c r="M138" s="466">
        <v>0</v>
      </c>
      <c r="N138" s="466">
        <v>0</v>
      </c>
      <c r="O138" s="467">
        <v>56603</v>
      </c>
      <c r="P138" s="467">
        <v>0</v>
      </c>
      <c r="Q138" s="467">
        <v>0</v>
      </c>
      <c r="R138" s="466"/>
      <c r="S138" s="467"/>
      <c r="T138" s="464">
        <f t="shared" si="10"/>
        <v>0</v>
      </c>
      <c r="U138" s="465">
        <f t="shared" si="11"/>
        <v>0</v>
      </c>
      <c r="V138" s="466"/>
      <c r="W138" s="467"/>
      <c r="X138" s="466"/>
      <c r="Y138" s="467"/>
      <c r="Z138" s="466"/>
      <c r="AA138" s="466"/>
      <c r="AB138" s="466"/>
      <c r="AC138" s="467"/>
      <c r="AD138" s="467"/>
      <c r="AE138" s="467"/>
      <c r="AF138" s="466"/>
      <c r="AG138" s="467"/>
    </row>
    <row r="139" spans="1:33" customFormat="1" ht="12.5" customHeight="1">
      <c r="A139" s="429" t="s">
        <v>141</v>
      </c>
      <c r="B139" s="340" t="s">
        <v>169</v>
      </c>
      <c r="C139" s="340"/>
      <c r="D139" s="339">
        <v>138956</v>
      </c>
      <c r="E139" s="339">
        <v>12</v>
      </c>
      <c r="F139" s="464">
        <f t="shared" si="8"/>
        <v>96226</v>
      </c>
      <c r="G139" s="465">
        <f t="shared" si="9"/>
        <v>88306</v>
      </c>
      <c r="H139" s="466">
        <v>85399</v>
      </c>
      <c r="I139" s="467">
        <v>52601</v>
      </c>
      <c r="J139" s="466"/>
      <c r="K139" s="467"/>
      <c r="L139" s="466">
        <v>10827</v>
      </c>
      <c r="M139" s="466">
        <v>0</v>
      </c>
      <c r="N139" s="466">
        <v>0</v>
      </c>
      <c r="O139" s="467">
        <v>35705</v>
      </c>
      <c r="P139" s="467">
        <v>0</v>
      </c>
      <c r="Q139" s="467">
        <v>0</v>
      </c>
      <c r="R139" s="466"/>
      <c r="S139" s="467"/>
      <c r="T139" s="464">
        <f t="shared" si="10"/>
        <v>0</v>
      </c>
      <c r="U139" s="465">
        <f t="shared" si="11"/>
        <v>0</v>
      </c>
      <c r="V139" s="466"/>
      <c r="W139" s="467"/>
      <c r="X139" s="466"/>
      <c r="Y139" s="467"/>
      <c r="Z139" s="466"/>
      <c r="AA139" s="466"/>
      <c r="AB139" s="466"/>
      <c r="AC139" s="467"/>
      <c r="AD139" s="467"/>
      <c r="AE139" s="467"/>
      <c r="AF139" s="466"/>
      <c r="AG139" s="467"/>
    </row>
    <row r="140" spans="1:33" customFormat="1" ht="12.5" customHeight="1">
      <c r="A140" s="429" t="s">
        <v>141</v>
      </c>
      <c r="B140" s="340" t="s">
        <v>170</v>
      </c>
      <c r="C140" s="340"/>
      <c r="D140" s="339">
        <v>483045</v>
      </c>
      <c r="E140" s="339">
        <v>12</v>
      </c>
      <c r="F140" s="464">
        <f t="shared" si="8"/>
        <v>167560</v>
      </c>
      <c r="G140" s="465">
        <f t="shared" si="9"/>
        <v>154039</v>
      </c>
      <c r="H140" s="466">
        <v>87705</v>
      </c>
      <c r="I140" s="467">
        <v>58626</v>
      </c>
      <c r="J140" s="466"/>
      <c r="K140" s="467"/>
      <c r="L140" s="466">
        <v>68479</v>
      </c>
      <c r="M140" s="466">
        <v>11376</v>
      </c>
      <c r="N140" s="466">
        <v>0</v>
      </c>
      <c r="O140" s="467">
        <v>89435</v>
      </c>
      <c r="P140" s="467">
        <v>5978</v>
      </c>
      <c r="Q140" s="467">
        <v>0</v>
      </c>
      <c r="R140" s="466"/>
      <c r="S140" s="467"/>
      <c r="T140" s="464">
        <f t="shared" si="10"/>
        <v>0</v>
      </c>
      <c r="U140" s="465">
        <f t="shared" si="11"/>
        <v>0</v>
      </c>
      <c r="V140" s="466"/>
      <c r="W140" s="467"/>
      <c r="X140" s="466"/>
      <c r="Y140" s="467"/>
      <c r="Z140" s="466"/>
      <c r="AA140" s="466"/>
      <c r="AB140" s="466"/>
      <c r="AC140" s="467"/>
      <c r="AD140" s="467"/>
      <c r="AE140" s="467"/>
      <c r="AF140" s="466"/>
      <c r="AG140" s="467"/>
    </row>
    <row r="141" spans="1:33" customFormat="1" ht="12.5" customHeight="1">
      <c r="A141" s="429" t="s">
        <v>141</v>
      </c>
      <c r="B141" s="340" t="s">
        <v>171</v>
      </c>
      <c r="C141" s="340"/>
      <c r="D141" s="339">
        <v>140331</v>
      </c>
      <c r="E141" s="339">
        <v>12</v>
      </c>
      <c r="F141" s="464">
        <f t="shared" si="8"/>
        <v>193364</v>
      </c>
      <c r="G141" s="465">
        <f t="shared" si="9"/>
        <v>190974</v>
      </c>
      <c r="H141" s="466">
        <v>93964</v>
      </c>
      <c r="I141" s="467">
        <v>78547</v>
      </c>
      <c r="J141" s="466"/>
      <c r="K141" s="467"/>
      <c r="L141" s="466">
        <v>99400</v>
      </c>
      <c r="M141" s="466">
        <v>0</v>
      </c>
      <c r="N141" s="466">
        <v>0</v>
      </c>
      <c r="O141" s="467">
        <v>112427</v>
      </c>
      <c r="P141" s="467">
        <v>0</v>
      </c>
      <c r="Q141" s="467">
        <v>0</v>
      </c>
      <c r="R141" s="466"/>
      <c r="S141" s="467"/>
      <c r="T141" s="464">
        <f t="shared" si="10"/>
        <v>0</v>
      </c>
      <c r="U141" s="465">
        <f t="shared" si="11"/>
        <v>0</v>
      </c>
      <c r="V141" s="466"/>
      <c r="W141" s="467"/>
      <c r="X141" s="466"/>
      <c r="Y141" s="467"/>
      <c r="Z141" s="466"/>
      <c r="AA141" s="466"/>
      <c r="AB141" s="466"/>
      <c r="AC141" s="467"/>
      <c r="AD141" s="467"/>
      <c r="AE141" s="467"/>
      <c r="AF141" s="466"/>
      <c r="AG141" s="467"/>
    </row>
    <row r="142" spans="1:33" customFormat="1" ht="12.5" customHeight="1">
      <c r="A142" s="429" t="s">
        <v>141</v>
      </c>
      <c r="B142" s="362" t="s">
        <v>172</v>
      </c>
      <c r="C142" s="340"/>
      <c r="D142" s="363">
        <v>485458</v>
      </c>
      <c r="E142" s="339">
        <v>12</v>
      </c>
      <c r="F142" s="464">
        <f t="shared" si="8"/>
        <v>72138</v>
      </c>
      <c r="G142" s="465">
        <f t="shared" si="9"/>
        <v>68682</v>
      </c>
      <c r="H142" s="466">
        <v>53702</v>
      </c>
      <c r="I142" s="467">
        <v>42827</v>
      </c>
      <c r="J142" s="466"/>
      <c r="K142" s="467"/>
      <c r="L142" s="466">
        <v>18436</v>
      </c>
      <c r="M142" s="466">
        <v>0</v>
      </c>
      <c r="N142" s="466">
        <v>0</v>
      </c>
      <c r="O142" s="467">
        <v>25855</v>
      </c>
      <c r="P142" s="467">
        <v>0</v>
      </c>
      <c r="Q142" s="467">
        <v>0</v>
      </c>
      <c r="R142" s="466"/>
      <c r="S142" s="467"/>
      <c r="T142" s="464">
        <f t="shared" si="10"/>
        <v>0</v>
      </c>
      <c r="U142" s="465">
        <f t="shared" si="11"/>
        <v>0</v>
      </c>
      <c r="V142" s="466"/>
      <c r="W142" s="467"/>
      <c r="X142" s="466"/>
      <c r="Y142" s="467"/>
      <c r="Z142" s="466"/>
      <c r="AA142" s="466"/>
      <c r="AB142" s="466"/>
      <c r="AC142" s="467"/>
      <c r="AD142" s="467"/>
      <c r="AE142" s="467"/>
      <c r="AF142" s="466"/>
      <c r="AG142" s="467"/>
    </row>
    <row r="143" spans="1:33" customFormat="1" ht="12.5" customHeight="1">
      <c r="A143" s="429" t="s">
        <v>141</v>
      </c>
      <c r="B143" s="340" t="s">
        <v>173</v>
      </c>
      <c r="C143" s="340"/>
      <c r="D143" s="339">
        <v>139357</v>
      </c>
      <c r="E143" s="339">
        <v>12</v>
      </c>
      <c r="F143" s="464">
        <f t="shared" si="8"/>
        <v>73251.899999999994</v>
      </c>
      <c r="G143" s="465">
        <f t="shared" si="9"/>
        <v>68493</v>
      </c>
      <c r="H143" s="466">
        <v>48299.4</v>
      </c>
      <c r="I143" s="467">
        <v>29965</v>
      </c>
      <c r="J143" s="466"/>
      <c r="K143" s="467"/>
      <c r="L143" s="466">
        <v>24952.5</v>
      </c>
      <c r="M143" s="466">
        <v>0</v>
      </c>
      <c r="N143" s="466">
        <v>0</v>
      </c>
      <c r="O143" s="467">
        <v>38528</v>
      </c>
      <c r="P143" s="467">
        <v>0</v>
      </c>
      <c r="Q143" s="467">
        <v>0</v>
      </c>
      <c r="R143" s="466"/>
      <c r="S143" s="467"/>
      <c r="T143" s="464">
        <f t="shared" si="10"/>
        <v>0</v>
      </c>
      <c r="U143" s="465">
        <f t="shared" si="11"/>
        <v>0</v>
      </c>
      <c r="V143" s="466"/>
      <c r="W143" s="467"/>
      <c r="X143" s="466"/>
      <c r="Y143" s="467"/>
      <c r="Z143" s="466"/>
      <c r="AA143" s="466"/>
      <c r="AB143" s="466"/>
      <c r="AC143" s="467"/>
      <c r="AD143" s="467"/>
      <c r="AE143" s="467"/>
      <c r="AF143" s="466"/>
      <c r="AG143" s="467"/>
    </row>
    <row r="144" spans="1:33" customFormat="1" ht="12.5" customHeight="1">
      <c r="A144" s="429" t="s">
        <v>141</v>
      </c>
      <c r="B144" s="340" t="s">
        <v>174</v>
      </c>
      <c r="C144" s="340"/>
      <c r="D144" s="339">
        <v>139384</v>
      </c>
      <c r="E144" s="339">
        <v>12</v>
      </c>
      <c r="F144" s="464">
        <f t="shared" si="8"/>
        <v>119951</v>
      </c>
      <c r="G144" s="465">
        <f t="shared" si="9"/>
        <v>127340</v>
      </c>
      <c r="H144" s="466">
        <v>68172</v>
      </c>
      <c r="I144" s="467">
        <v>54615</v>
      </c>
      <c r="J144" s="466"/>
      <c r="K144" s="467"/>
      <c r="L144" s="466">
        <v>51779</v>
      </c>
      <c r="M144" s="466">
        <v>0</v>
      </c>
      <c r="N144" s="466">
        <v>0</v>
      </c>
      <c r="O144" s="467">
        <v>72725</v>
      </c>
      <c r="P144" s="467">
        <v>0</v>
      </c>
      <c r="Q144" s="467">
        <v>0</v>
      </c>
      <c r="R144" s="466"/>
      <c r="S144" s="467"/>
      <c r="T144" s="464">
        <f t="shared" si="10"/>
        <v>0</v>
      </c>
      <c r="U144" s="465">
        <f t="shared" si="11"/>
        <v>0</v>
      </c>
      <c r="V144" s="466"/>
      <c r="W144" s="467"/>
      <c r="X144" s="466"/>
      <c r="Y144" s="467"/>
      <c r="Z144" s="466"/>
      <c r="AA144" s="466"/>
      <c r="AB144" s="466"/>
      <c r="AC144" s="467"/>
      <c r="AD144" s="467"/>
      <c r="AE144" s="467"/>
      <c r="AF144" s="466"/>
      <c r="AG144" s="467"/>
    </row>
    <row r="145" spans="1:33" customFormat="1" ht="12.5" customHeight="1">
      <c r="A145" s="429" t="s">
        <v>141</v>
      </c>
      <c r="B145" s="340" t="s">
        <v>175</v>
      </c>
      <c r="C145" s="340"/>
      <c r="D145" s="339">
        <v>244446</v>
      </c>
      <c r="E145" s="339">
        <v>12</v>
      </c>
      <c r="F145" s="464">
        <f t="shared" ref="F145:F157" si="12">SUM(H145,J145,L145,M145,N145,R145)</f>
        <v>69469.5</v>
      </c>
      <c r="G145" s="465">
        <f t="shared" ref="G145:G157" si="13">SUM(I145,K145,O145,P145,Q145,S145)</f>
        <v>60917.5</v>
      </c>
      <c r="H145" s="466">
        <v>19528.5</v>
      </c>
      <c r="I145" s="467">
        <v>13811.5</v>
      </c>
      <c r="J145" s="466"/>
      <c r="K145" s="467"/>
      <c r="L145" s="466">
        <v>49941</v>
      </c>
      <c r="M145" s="466">
        <v>0</v>
      </c>
      <c r="N145" s="466">
        <v>0</v>
      </c>
      <c r="O145" s="467">
        <v>47106</v>
      </c>
      <c r="P145" s="467">
        <v>0</v>
      </c>
      <c r="Q145" s="467">
        <v>0</v>
      </c>
      <c r="R145" s="466"/>
      <c r="S145" s="467"/>
      <c r="T145" s="464">
        <f t="shared" ref="T145:T157" si="14">SUM(V145,X145,Z145,AA145,AB145,AF145)</f>
        <v>0</v>
      </c>
      <c r="U145" s="465">
        <f t="shared" ref="U145:U157" si="15">SUM(W145,Y145,AC145,AD145,AE145,AG145)</f>
        <v>0</v>
      </c>
      <c r="V145" s="466"/>
      <c r="W145" s="467"/>
      <c r="X145" s="466"/>
      <c r="Y145" s="467"/>
      <c r="Z145" s="466"/>
      <c r="AA145" s="466"/>
      <c r="AB145" s="466"/>
      <c r="AC145" s="467"/>
      <c r="AD145" s="467"/>
      <c r="AE145" s="467"/>
      <c r="AF145" s="466"/>
      <c r="AG145" s="467"/>
    </row>
    <row r="146" spans="1:33" customFormat="1" ht="12.5" customHeight="1">
      <c r="A146" s="429" t="s">
        <v>141</v>
      </c>
      <c r="B146" s="340" t="s">
        <v>176</v>
      </c>
      <c r="C146" s="340"/>
      <c r="D146" s="339">
        <v>140012</v>
      </c>
      <c r="E146" s="339">
        <v>12</v>
      </c>
      <c r="F146" s="464">
        <f t="shared" si="12"/>
        <v>172091</v>
      </c>
      <c r="G146" s="465">
        <f t="shared" si="13"/>
        <v>166649</v>
      </c>
      <c r="H146" s="466">
        <v>94293</v>
      </c>
      <c r="I146" s="467">
        <v>60654</v>
      </c>
      <c r="J146" s="466"/>
      <c r="K146" s="467"/>
      <c r="L146" s="466">
        <v>77798</v>
      </c>
      <c r="M146" s="466">
        <v>0</v>
      </c>
      <c r="N146" s="466">
        <v>0</v>
      </c>
      <c r="O146" s="467">
        <v>105995</v>
      </c>
      <c r="P146" s="467">
        <v>0</v>
      </c>
      <c r="Q146" s="467">
        <v>0</v>
      </c>
      <c r="R146" s="466"/>
      <c r="S146" s="467"/>
      <c r="T146" s="464">
        <f t="shared" si="14"/>
        <v>0</v>
      </c>
      <c r="U146" s="465">
        <f t="shared" si="15"/>
        <v>0</v>
      </c>
      <c r="V146" s="466"/>
      <c r="W146" s="467"/>
      <c r="X146" s="466"/>
      <c r="Y146" s="467"/>
      <c r="Z146" s="466"/>
      <c r="AA146" s="466"/>
      <c r="AB146" s="466"/>
      <c r="AC146" s="467"/>
      <c r="AD146" s="467"/>
      <c r="AE146" s="467"/>
      <c r="AF146" s="466"/>
      <c r="AG146" s="467"/>
    </row>
    <row r="147" spans="1:33" customFormat="1" ht="12.5" customHeight="1">
      <c r="A147" s="429" t="s">
        <v>141</v>
      </c>
      <c r="B147" s="340" t="s">
        <v>177</v>
      </c>
      <c r="C147" s="340"/>
      <c r="D147" s="339">
        <v>140243</v>
      </c>
      <c r="E147" s="339">
        <v>12</v>
      </c>
      <c r="F147" s="464">
        <f t="shared" si="12"/>
        <v>85664</v>
      </c>
      <c r="G147" s="465">
        <f t="shared" si="13"/>
        <v>93162</v>
      </c>
      <c r="H147" s="466">
        <v>63039</v>
      </c>
      <c r="I147" s="467">
        <v>45623</v>
      </c>
      <c r="J147" s="466"/>
      <c r="K147" s="467"/>
      <c r="L147" s="466">
        <v>22625</v>
      </c>
      <c r="M147" s="466">
        <v>0</v>
      </c>
      <c r="N147" s="466">
        <v>0</v>
      </c>
      <c r="O147" s="467">
        <v>35035</v>
      </c>
      <c r="P147" s="467">
        <v>12504</v>
      </c>
      <c r="Q147" s="467">
        <v>0</v>
      </c>
      <c r="R147" s="466"/>
      <c r="S147" s="467"/>
      <c r="T147" s="464">
        <f t="shared" si="14"/>
        <v>0</v>
      </c>
      <c r="U147" s="465">
        <f t="shared" si="15"/>
        <v>0</v>
      </c>
      <c r="V147" s="466"/>
      <c r="W147" s="467"/>
      <c r="X147" s="466"/>
      <c r="Y147" s="467"/>
      <c r="Z147" s="466"/>
      <c r="AA147" s="466"/>
      <c r="AB147" s="466"/>
      <c r="AC147" s="467"/>
      <c r="AD147" s="467"/>
      <c r="AE147" s="467"/>
      <c r="AF147" s="466"/>
      <c r="AG147" s="467"/>
    </row>
    <row r="148" spans="1:33" customFormat="1" ht="12.5" customHeight="1">
      <c r="A148" s="429" t="s">
        <v>141</v>
      </c>
      <c r="B148" s="340" t="s">
        <v>178</v>
      </c>
      <c r="C148" s="340"/>
      <c r="D148" s="339">
        <v>140678</v>
      </c>
      <c r="E148" s="339">
        <v>12</v>
      </c>
      <c r="F148" s="464">
        <f t="shared" si="12"/>
        <v>54959</v>
      </c>
      <c r="G148" s="465">
        <f t="shared" si="13"/>
        <v>54981</v>
      </c>
      <c r="H148" s="466">
        <v>36405</v>
      </c>
      <c r="I148" s="467">
        <v>26241</v>
      </c>
      <c r="J148" s="466"/>
      <c r="K148" s="467"/>
      <c r="L148" s="466">
        <v>18554</v>
      </c>
      <c r="M148" s="466">
        <v>0</v>
      </c>
      <c r="N148" s="466">
        <v>0</v>
      </c>
      <c r="O148" s="467">
        <v>28740</v>
      </c>
      <c r="P148" s="467">
        <v>0</v>
      </c>
      <c r="Q148" s="467">
        <v>0</v>
      </c>
      <c r="R148" s="466"/>
      <c r="S148" s="467"/>
      <c r="T148" s="464">
        <f t="shared" si="14"/>
        <v>0</v>
      </c>
      <c r="U148" s="465">
        <f t="shared" si="15"/>
        <v>0</v>
      </c>
      <c r="V148" s="466"/>
      <c r="W148" s="467"/>
      <c r="X148" s="466"/>
      <c r="Y148" s="467"/>
      <c r="Z148" s="466"/>
      <c r="AA148" s="466"/>
      <c r="AB148" s="466"/>
      <c r="AC148" s="467"/>
      <c r="AD148" s="467"/>
      <c r="AE148" s="467"/>
      <c r="AF148" s="466"/>
      <c r="AG148" s="467"/>
    </row>
    <row r="149" spans="1:33">
      <c r="A149" s="429" t="s">
        <v>141</v>
      </c>
      <c r="B149" s="340" t="s">
        <v>179</v>
      </c>
      <c r="C149" s="337"/>
      <c r="D149" s="339">
        <v>420431</v>
      </c>
      <c r="E149" s="339">
        <v>12</v>
      </c>
      <c r="F149" s="464">
        <f t="shared" si="12"/>
        <v>34423</v>
      </c>
      <c r="G149" s="465">
        <f t="shared" si="13"/>
        <v>35860</v>
      </c>
      <c r="H149" s="466">
        <v>21789</v>
      </c>
      <c r="I149" s="467">
        <v>16873</v>
      </c>
      <c r="J149" s="466"/>
      <c r="K149" s="467"/>
      <c r="L149" s="466">
        <v>12634</v>
      </c>
      <c r="M149" s="466">
        <v>0</v>
      </c>
      <c r="N149" s="466">
        <v>0</v>
      </c>
      <c r="O149" s="467">
        <v>18987</v>
      </c>
      <c r="P149" s="467">
        <v>0</v>
      </c>
      <c r="Q149" s="467">
        <v>0</v>
      </c>
      <c r="R149" s="466"/>
      <c r="S149" s="467"/>
      <c r="T149" s="464">
        <f t="shared" si="14"/>
        <v>0</v>
      </c>
      <c r="U149" s="465">
        <f t="shared" si="15"/>
        <v>0</v>
      </c>
      <c r="V149" s="466"/>
      <c r="W149" s="467"/>
      <c r="X149" s="466"/>
      <c r="Y149" s="467"/>
      <c r="Z149" s="466"/>
      <c r="AA149" s="466"/>
      <c r="AB149" s="466"/>
      <c r="AC149" s="467"/>
      <c r="AD149" s="467"/>
      <c r="AE149" s="467"/>
      <c r="AF149" s="466"/>
      <c r="AG149" s="467"/>
    </row>
    <row r="150" spans="1:33" customFormat="1" ht="12.5" customHeight="1">
      <c r="A150" s="339" t="s">
        <v>141</v>
      </c>
      <c r="B150" s="340" t="s">
        <v>180</v>
      </c>
      <c r="C150" s="340"/>
      <c r="D150" s="339">
        <v>366465</v>
      </c>
      <c r="E150" s="339">
        <v>12</v>
      </c>
      <c r="F150" s="464">
        <f t="shared" si="12"/>
        <v>50133</v>
      </c>
      <c r="G150" s="465">
        <f t="shared" si="13"/>
        <v>49479</v>
      </c>
      <c r="H150" s="466">
        <v>30877</v>
      </c>
      <c r="I150" s="467">
        <v>24546</v>
      </c>
      <c r="J150" s="466"/>
      <c r="K150" s="467"/>
      <c r="L150" s="466">
        <v>19256</v>
      </c>
      <c r="M150" s="466">
        <v>0</v>
      </c>
      <c r="N150" s="466">
        <v>0</v>
      </c>
      <c r="O150" s="467">
        <v>24933</v>
      </c>
      <c r="P150" s="467">
        <v>0</v>
      </c>
      <c r="Q150" s="467">
        <v>0</v>
      </c>
      <c r="R150" s="466"/>
      <c r="S150" s="467"/>
      <c r="T150" s="464">
        <f t="shared" si="14"/>
        <v>0</v>
      </c>
      <c r="U150" s="465">
        <f t="shared" si="15"/>
        <v>0</v>
      </c>
      <c r="V150" s="466"/>
      <c r="W150" s="467"/>
      <c r="X150" s="466"/>
      <c r="Y150" s="467"/>
      <c r="Z150" s="466"/>
      <c r="AA150" s="466"/>
      <c r="AB150" s="466"/>
      <c r="AC150" s="467"/>
      <c r="AD150" s="467"/>
      <c r="AE150" s="467"/>
      <c r="AF150" s="466"/>
      <c r="AG150" s="467"/>
    </row>
    <row r="151" spans="1:33" customFormat="1" ht="12.5" customHeight="1">
      <c r="A151" s="339" t="s">
        <v>141</v>
      </c>
      <c r="B151" s="340" t="s">
        <v>181</v>
      </c>
      <c r="C151" s="340"/>
      <c r="D151" s="339">
        <v>140942</v>
      </c>
      <c r="E151" s="339">
        <v>12</v>
      </c>
      <c r="F151" s="464">
        <f t="shared" si="12"/>
        <v>87500</v>
      </c>
      <c r="G151" s="465">
        <f t="shared" si="13"/>
        <v>84927</v>
      </c>
      <c r="H151" s="466">
        <v>64669</v>
      </c>
      <c r="I151" s="467">
        <v>40608</v>
      </c>
      <c r="J151" s="466"/>
      <c r="K151" s="467"/>
      <c r="L151" s="466">
        <v>22831</v>
      </c>
      <c r="M151" s="466">
        <v>0</v>
      </c>
      <c r="N151" s="466">
        <v>0</v>
      </c>
      <c r="O151" s="467">
        <v>44319</v>
      </c>
      <c r="P151" s="467">
        <v>0</v>
      </c>
      <c r="Q151" s="467">
        <v>0</v>
      </c>
      <c r="R151" s="466"/>
      <c r="S151" s="467"/>
      <c r="T151" s="464">
        <f t="shared" si="14"/>
        <v>0</v>
      </c>
      <c r="U151" s="465">
        <f t="shared" si="15"/>
        <v>0</v>
      </c>
      <c r="V151" s="466"/>
      <c r="W151" s="467"/>
      <c r="X151" s="466"/>
      <c r="Y151" s="467"/>
      <c r="Z151" s="466"/>
      <c r="AA151" s="466"/>
      <c r="AB151" s="466"/>
      <c r="AC151" s="467"/>
      <c r="AD151" s="467"/>
      <c r="AE151" s="467"/>
      <c r="AF151" s="466"/>
      <c r="AG151" s="467"/>
    </row>
    <row r="152" spans="1:33" customFormat="1" ht="12.5" customHeight="1">
      <c r="A152" s="339" t="s">
        <v>141</v>
      </c>
      <c r="B152" s="340" t="s">
        <v>182</v>
      </c>
      <c r="C152" s="340"/>
      <c r="D152" s="339">
        <v>141006</v>
      </c>
      <c r="E152" s="339">
        <v>12</v>
      </c>
      <c r="F152" s="464">
        <f t="shared" si="12"/>
        <v>51913</v>
      </c>
      <c r="G152" s="465">
        <f t="shared" si="13"/>
        <v>45944</v>
      </c>
      <c r="H152" s="466">
        <v>38957</v>
      </c>
      <c r="I152" s="467">
        <v>28498</v>
      </c>
      <c r="J152" s="466"/>
      <c r="K152" s="467"/>
      <c r="L152" s="466">
        <v>12956</v>
      </c>
      <c r="M152" s="466">
        <v>0</v>
      </c>
      <c r="N152" s="466">
        <v>0</v>
      </c>
      <c r="O152" s="467">
        <v>17446</v>
      </c>
      <c r="P152" s="467">
        <v>0</v>
      </c>
      <c r="Q152" s="467">
        <v>0</v>
      </c>
      <c r="R152" s="466"/>
      <c r="S152" s="467"/>
      <c r="T152" s="464">
        <f t="shared" si="14"/>
        <v>0</v>
      </c>
      <c r="U152" s="465">
        <f t="shared" si="15"/>
        <v>0</v>
      </c>
      <c r="V152" s="466"/>
      <c r="W152" s="467"/>
      <c r="X152" s="466"/>
      <c r="Y152" s="467"/>
      <c r="Z152" s="466"/>
      <c r="AA152" s="466"/>
      <c r="AB152" s="466"/>
      <c r="AC152" s="467"/>
      <c r="AD152" s="467"/>
      <c r="AE152" s="467"/>
      <c r="AF152" s="466"/>
      <c r="AG152" s="467"/>
    </row>
    <row r="153" spans="1:33" customFormat="1" ht="12.5" customHeight="1">
      <c r="A153" s="339" t="s">
        <v>141</v>
      </c>
      <c r="B153" s="340" t="s">
        <v>183</v>
      </c>
      <c r="C153" s="340"/>
      <c r="D153" s="339">
        <v>368911</v>
      </c>
      <c r="E153" s="339">
        <v>12</v>
      </c>
      <c r="F153" s="464">
        <f t="shared" si="12"/>
        <v>36529</v>
      </c>
      <c r="G153" s="465">
        <f t="shared" si="13"/>
        <v>32375</v>
      </c>
      <c r="H153" s="466">
        <v>25145</v>
      </c>
      <c r="I153" s="467">
        <v>15426</v>
      </c>
      <c r="J153" s="466"/>
      <c r="K153" s="467"/>
      <c r="L153" s="466">
        <v>11384</v>
      </c>
      <c r="M153" s="466">
        <v>0</v>
      </c>
      <c r="N153" s="466">
        <v>0</v>
      </c>
      <c r="O153" s="467">
        <v>16949</v>
      </c>
      <c r="P153" s="467">
        <v>0</v>
      </c>
      <c r="Q153" s="467">
        <v>0</v>
      </c>
      <c r="R153" s="466"/>
      <c r="S153" s="467"/>
      <c r="T153" s="464">
        <f t="shared" si="14"/>
        <v>0</v>
      </c>
      <c r="U153" s="465">
        <f t="shared" si="15"/>
        <v>0</v>
      </c>
      <c r="V153" s="466"/>
      <c r="W153" s="467"/>
      <c r="X153" s="466"/>
      <c r="Y153" s="467"/>
      <c r="Z153" s="466"/>
      <c r="AA153" s="466"/>
      <c r="AB153" s="466"/>
      <c r="AC153" s="467"/>
      <c r="AD153" s="467"/>
      <c r="AE153" s="467"/>
      <c r="AF153" s="466"/>
      <c r="AG153" s="467"/>
    </row>
    <row r="154" spans="1:33" customFormat="1" ht="12.5" customHeight="1">
      <c r="A154" s="339" t="s">
        <v>141</v>
      </c>
      <c r="B154" s="340" t="s">
        <v>184</v>
      </c>
      <c r="C154" s="340"/>
      <c r="D154" s="339">
        <v>139986</v>
      </c>
      <c r="E154" s="339">
        <v>12</v>
      </c>
      <c r="F154" s="464">
        <f t="shared" si="12"/>
        <v>104938</v>
      </c>
      <c r="G154" s="465">
        <f t="shared" si="13"/>
        <v>107717</v>
      </c>
      <c r="H154" s="466">
        <v>64948</v>
      </c>
      <c r="I154" s="467">
        <v>48237</v>
      </c>
      <c r="J154" s="466"/>
      <c r="K154" s="467"/>
      <c r="L154" s="466">
        <v>39747</v>
      </c>
      <c r="M154" s="466">
        <v>243</v>
      </c>
      <c r="N154" s="466">
        <v>0</v>
      </c>
      <c r="O154" s="467">
        <v>59351</v>
      </c>
      <c r="P154" s="467">
        <v>129</v>
      </c>
      <c r="Q154" s="467">
        <v>0</v>
      </c>
      <c r="R154" s="466"/>
      <c r="S154" s="467"/>
      <c r="T154" s="464">
        <f t="shared" si="14"/>
        <v>0</v>
      </c>
      <c r="U154" s="465">
        <f t="shared" si="15"/>
        <v>0</v>
      </c>
      <c r="V154" s="466"/>
      <c r="W154" s="467"/>
      <c r="X154" s="466"/>
      <c r="Y154" s="467"/>
      <c r="Z154" s="466"/>
      <c r="AA154" s="466"/>
      <c r="AB154" s="466"/>
      <c r="AC154" s="467"/>
      <c r="AD154" s="467"/>
      <c r="AE154" s="467"/>
      <c r="AF154" s="466"/>
      <c r="AG154" s="467"/>
    </row>
    <row r="155" spans="1:33" customFormat="1" ht="12.5" customHeight="1">
      <c r="A155" s="339" t="s">
        <v>141</v>
      </c>
      <c r="B155" s="362" t="s">
        <v>185</v>
      </c>
      <c r="C155" s="340"/>
      <c r="D155" s="363">
        <v>487162</v>
      </c>
      <c r="E155" s="339">
        <v>12</v>
      </c>
      <c r="F155" s="464">
        <f t="shared" si="12"/>
        <v>99205</v>
      </c>
      <c r="G155" s="465">
        <f t="shared" si="13"/>
        <v>94284</v>
      </c>
      <c r="H155" s="466">
        <v>65428</v>
      </c>
      <c r="I155" s="467">
        <v>47517</v>
      </c>
      <c r="J155" s="466"/>
      <c r="K155" s="467"/>
      <c r="L155" s="466">
        <v>33777</v>
      </c>
      <c r="M155" s="466">
        <v>0</v>
      </c>
      <c r="N155" s="466">
        <v>0</v>
      </c>
      <c r="O155" s="467">
        <v>46767</v>
      </c>
      <c r="P155" s="467">
        <v>0</v>
      </c>
      <c r="Q155" s="467">
        <v>0</v>
      </c>
      <c r="R155" s="466"/>
      <c r="S155" s="467"/>
      <c r="T155" s="464">
        <f t="shared" si="14"/>
        <v>0</v>
      </c>
      <c r="U155" s="465">
        <f t="shared" si="15"/>
        <v>0</v>
      </c>
      <c r="V155" s="466"/>
      <c r="W155" s="467"/>
      <c r="X155" s="466"/>
      <c r="Y155" s="467"/>
      <c r="Z155" s="466"/>
      <c r="AA155" s="466"/>
      <c r="AB155" s="466"/>
      <c r="AC155" s="467"/>
      <c r="AD155" s="467"/>
      <c r="AE155" s="467"/>
      <c r="AF155" s="466"/>
      <c r="AG155" s="467"/>
    </row>
    <row r="156" spans="1:33" customFormat="1" ht="12.5" customHeight="1">
      <c r="A156" s="339" t="s">
        <v>141</v>
      </c>
      <c r="B156" s="340" t="s">
        <v>186</v>
      </c>
      <c r="C156" s="340"/>
      <c r="D156" s="339">
        <v>139278</v>
      </c>
      <c r="E156" s="339">
        <v>12</v>
      </c>
      <c r="F156" s="464">
        <f t="shared" si="12"/>
        <v>134690</v>
      </c>
      <c r="G156" s="465">
        <f t="shared" si="13"/>
        <v>127899</v>
      </c>
      <c r="H156" s="466">
        <v>79156</v>
      </c>
      <c r="I156" s="467">
        <v>47860</v>
      </c>
      <c r="J156" s="466"/>
      <c r="K156" s="467"/>
      <c r="L156" s="466">
        <v>55534</v>
      </c>
      <c r="M156" s="466">
        <v>0</v>
      </c>
      <c r="N156" s="466">
        <v>0</v>
      </c>
      <c r="O156" s="467">
        <v>80039</v>
      </c>
      <c r="P156" s="467">
        <v>0</v>
      </c>
      <c r="Q156" s="467">
        <v>0</v>
      </c>
      <c r="R156" s="466"/>
      <c r="S156" s="467"/>
      <c r="T156" s="464">
        <f t="shared" si="14"/>
        <v>0</v>
      </c>
      <c r="U156" s="465">
        <f t="shared" si="15"/>
        <v>0</v>
      </c>
      <c r="V156" s="466"/>
      <c r="W156" s="467"/>
      <c r="X156" s="466"/>
      <c r="Y156" s="467"/>
      <c r="Z156" s="466"/>
      <c r="AA156" s="466"/>
      <c r="AB156" s="466"/>
      <c r="AC156" s="467"/>
      <c r="AD156" s="467"/>
      <c r="AE156" s="467"/>
      <c r="AF156" s="466"/>
      <c r="AG156" s="467"/>
    </row>
    <row r="157" spans="1:33" customFormat="1" ht="12.5" customHeight="1">
      <c r="A157" s="339" t="s">
        <v>141</v>
      </c>
      <c r="B157" s="340" t="s">
        <v>187</v>
      </c>
      <c r="C157" s="340"/>
      <c r="D157" s="339">
        <v>141255</v>
      </c>
      <c r="E157" s="339">
        <v>12</v>
      </c>
      <c r="F157" s="464">
        <f t="shared" si="12"/>
        <v>84293</v>
      </c>
      <c r="G157" s="465">
        <f t="shared" si="13"/>
        <v>74592</v>
      </c>
      <c r="H157" s="466">
        <v>67418</v>
      </c>
      <c r="I157" s="467">
        <v>44087</v>
      </c>
      <c r="J157" s="466"/>
      <c r="K157" s="467"/>
      <c r="L157" s="466">
        <v>16875</v>
      </c>
      <c r="M157" s="466">
        <v>0</v>
      </c>
      <c r="N157" s="466">
        <v>0</v>
      </c>
      <c r="O157" s="467">
        <v>30505</v>
      </c>
      <c r="P157" s="467">
        <v>0</v>
      </c>
      <c r="Q157" s="467">
        <v>0</v>
      </c>
      <c r="R157" s="466"/>
      <c r="S157" s="467"/>
      <c r="T157" s="464">
        <f t="shared" si="14"/>
        <v>0</v>
      </c>
      <c r="U157" s="465">
        <f t="shared" si="15"/>
        <v>0</v>
      </c>
      <c r="V157" s="466"/>
      <c r="W157" s="467"/>
      <c r="X157" s="466"/>
      <c r="Y157" s="467"/>
      <c r="Z157" s="466"/>
      <c r="AA157" s="466"/>
      <c r="AB157" s="466"/>
      <c r="AC157" s="467"/>
      <c r="AD157" s="467"/>
      <c r="AE157" s="467"/>
      <c r="AF157" s="466"/>
      <c r="AG157" s="467"/>
    </row>
    <row r="158" spans="1:33" s="14" customFormat="1" ht="13.5" customHeight="1">
      <c r="A158" s="343" t="s">
        <v>188</v>
      </c>
      <c r="B158" s="341" t="s">
        <v>189</v>
      </c>
      <c r="C158" s="342"/>
      <c r="D158" s="343">
        <v>157085</v>
      </c>
      <c r="E158" s="343">
        <v>1</v>
      </c>
      <c r="F158" s="464">
        <v>661709</v>
      </c>
      <c r="G158" s="465">
        <v>605707</v>
      </c>
      <c r="H158" s="466">
        <v>589799</v>
      </c>
      <c r="I158" s="475">
        <v>358834</v>
      </c>
      <c r="J158" s="466">
        <v>7624</v>
      </c>
      <c r="K158" s="475">
        <v>5601</v>
      </c>
      <c r="L158" s="466">
        <v>62707</v>
      </c>
      <c r="M158" s="466">
        <v>303</v>
      </c>
      <c r="N158" s="466">
        <v>1276</v>
      </c>
      <c r="O158" s="475">
        <v>240091</v>
      </c>
      <c r="P158" s="467">
        <v>594</v>
      </c>
      <c r="Q158" s="467">
        <v>587</v>
      </c>
      <c r="R158" s="466"/>
      <c r="S158" s="467"/>
      <c r="T158" s="464">
        <v>84529</v>
      </c>
      <c r="U158" s="465">
        <v>84573</v>
      </c>
      <c r="V158" s="466">
        <v>59942</v>
      </c>
      <c r="W158" s="475">
        <v>42374</v>
      </c>
      <c r="X158" s="466">
        <v>284</v>
      </c>
      <c r="Y158" s="475">
        <v>186</v>
      </c>
      <c r="Z158" s="466">
        <v>22967</v>
      </c>
      <c r="AA158" s="466">
        <v>668</v>
      </c>
      <c r="AB158" s="466">
        <v>668</v>
      </c>
      <c r="AC158" s="475">
        <v>41528</v>
      </c>
      <c r="AD158" s="475"/>
      <c r="AE158" s="475">
        <v>485</v>
      </c>
      <c r="AF158" s="466"/>
      <c r="AG158" s="467"/>
    </row>
    <row r="159" spans="1:33">
      <c r="A159" s="343" t="s">
        <v>188</v>
      </c>
      <c r="B159" s="341" t="s">
        <v>190</v>
      </c>
      <c r="C159" s="342"/>
      <c r="D159" s="343">
        <v>157289</v>
      </c>
      <c r="E159" s="343">
        <v>1</v>
      </c>
      <c r="F159" s="464">
        <v>385705</v>
      </c>
      <c r="G159" s="465">
        <v>390671</v>
      </c>
      <c r="H159" s="466">
        <v>312187</v>
      </c>
      <c r="I159" s="475">
        <v>227237</v>
      </c>
      <c r="J159" s="466">
        <v>13722</v>
      </c>
      <c r="K159" s="475">
        <v>13963</v>
      </c>
      <c r="L159" s="466">
        <v>59796</v>
      </c>
      <c r="M159" s="466"/>
      <c r="N159" s="466"/>
      <c r="O159" s="475">
        <v>149471</v>
      </c>
      <c r="P159" s="467"/>
      <c r="Q159" s="467"/>
      <c r="R159" s="466"/>
      <c r="S159" s="467"/>
      <c r="T159" s="464">
        <v>78224</v>
      </c>
      <c r="U159" s="465">
        <v>84945</v>
      </c>
      <c r="V159" s="466">
        <v>51454.5</v>
      </c>
      <c r="W159" s="475">
        <v>36331</v>
      </c>
      <c r="X159" s="466">
        <v>6149</v>
      </c>
      <c r="Y159" s="475">
        <v>2726</v>
      </c>
      <c r="Z159" s="466">
        <v>20620.5</v>
      </c>
      <c r="AA159" s="466"/>
      <c r="AB159" s="466"/>
      <c r="AC159" s="475">
        <v>45888</v>
      </c>
      <c r="AD159" s="475"/>
      <c r="AE159" s="475"/>
      <c r="AF159" s="466"/>
      <c r="AG159" s="467"/>
    </row>
    <row r="160" spans="1:33">
      <c r="A160" s="343" t="s">
        <v>188</v>
      </c>
      <c r="B160" s="341" t="s">
        <v>191</v>
      </c>
      <c r="C160" s="342"/>
      <c r="D160" s="343">
        <v>156620</v>
      </c>
      <c r="E160" s="343">
        <v>3</v>
      </c>
      <c r="F160" s="464">
        <v>360719</v>
      </c>
      <c r="G160" s="465">
        <v>341191</v>
      </c>
      <c r="H160" s="466">
        <v>265793</v>
      </c>
      <c r="I160" s="475">
        <v>227868</v>
      </c>
      <c r="J160" s="466">
        <v>12460</v>
      </c>
      <c r="K160" s="475">
        <v>9944</v>
      </c>
      <c r="L160" s="466">
        <v>77567</v>
      </c>
      <c r="M160" s="466">
        <v>4899</v>
      </c>
      <c r="N160" s="466"/>
      <c r="O160" s="475">
        <v>98885</v>
      </c>
      <c r="P160" s="467">
        <v>4494</v>
      </c>
      <c r="Q160" s="467"/>
      <c r="R160" s="466"/>
      <c r="S160" s="467"/>
      <c r="T160" s="464">
        <v>40190</v>
      </c>
      <c r="U160" s="465">
        <v>40419</v>
      </c>
      <c r="V160" s="466">
        <v>14008.5</v>
      </c>
      <c r="W160" s="475">
        <v>12124</v>
      </c>
      <c r="X160" s="466">
        <v>1530.5</v>
      </c>
      <c r="Y160" s="475">
        <v>1714</v>
      </c>
      <c r="Z160" s="466">
        <v>24648</v>
      </c>
      <c r="AA160" s="466">
        <v>3</v>
      </c>
      <c r="AB160" s="466"/>
      <c r="AC160" s="475">
        <v>26581</v>
      </c>
      <c r="AD160" s="475"/>
      <c r="AE160" s="475"/>
      <c r="AF160" s="466"/>
      <c r="AG160" s="467"/>
    </row>
    <row r="161" spans="1:33">
      <c r="A161" s="343" t="s">
        <v>188</v>
      </c>
      <c r="B161" s="341" t="s">
        <v>192</v>
      </c>
      <c r="C161" s="342"/>
      <c r="D161" s="343">
        <v>157386</v>
      </c>
      <c r="E161" s="343">
        <v>3</v>
      </c>
      <c r="F161" s="464">
        <v>191768</v>
      </c>
      <c r="G161" s="465">
        <v>186501</v>
      </c>
      <c r="H161" s="466">
        <v>112435</v>
      </c>
      <c r="I161" s="475">
        <v>88171</v>
      </c>
      <c r="J161" s="466">
        <v>26333</v>
      </c>
      <c r="K161" s="475">
        <v>26137</v>
      </c>
      <c r="L161" s="466">
        <v>48273</v>
      </c>
      <c r="M161" s="466">
        <v>4727</v>
      </c>
      <c r="N161" s="466"/>
      <c r="O161" s="475">
        <v>67873</v>
      </c>
      <c r="P161" s="467">
        <v>4320</v>
      </c>
      <c r="Q161" s="467"/>
      <c r="R161" s="466"/>
      <c r="S161" s="467"/>
      <c r="T161" s="464">
        <v>11765</v>
      </c>
      <c r="U161" s="465">
        <v>11018</v>
      </c>
      <c r="V161" s="466">
        <v>1161</v>
      </c>
      <c r="W161" s="475">
        <v>1071</v>
      </c>
      <c r="X161" s="466">
        <v>564</v>
      </c>
      <c r="Y161" s="475">
        <v>221</v>
      </c>
      <c r="Z161" s="466">
        <v>9986</v>
      </c>
      <c r="AA161" s="466">
        <v>54</v>
      </c>
      <c r="AB161" s="466"/>
      <c r="AC161" s="475">
        <v>9726</v>
      </c>
      <c r="AD161" s="475"/>
      <c r="AE161" s="475"/>
      <c r="AF161" s="466"/>
      <c r="AG161" s="467"/>
    </row>
    <row r="162" spans="1:33">
      <c r="A162" s="343" t="s">
        <v>188</v>
      </c>
      <c r="B162" s="341" t="s">
        <v>193</v>
      </c>
      <c r="C162" s="342"/>
      <c r="D162" s="343">
        <v>157401</v>
      </c>
      <c r="E162" s="343">
        <v>3</v>
      </c>
      <c r="F162" s="464">
        <v>206180</v>
      </c>
      <c r="G162" s="465">
        <v>205124</v>
      </c>
      <c r="H162" s="466">
        <v>156228</v>
      </c>
      <c r="I162" s="475">
        <v>130953</v>
      </c>
      <c r="J162" s="466">
        <v>10668</v>
      </c>
      <c r="K162" s="475">
        <v>28030</v>
      </c>
      <c r="L162" s="466">
        <v>32320</v>
      </c>
      <c r="M162" s="466">
        <v>6964</v>
      </c>
      <c r="N162" s="466"/>
      <c r="O162" s="475">
        <v>41460</v>
      </c>
      <c r="P162" s="467">
        <v>4681</v>
      </c>
      <c r="Q162" s="467"/>
      <c r="R162" s="466"/>
      <c r="S162" s="467"/>
      <c r="T162" s="464">
        <v>20929</v>
      </c>
      <c r="U162" s="465">
        <v>23083</v>
      </c>
      <c r="V162" s="466">
        <v>9651</v>
      </c>
      <c r="W162" s="475">
        <v>7647</v>
      </c>
      <c r="X162" s="466">
        <v>2553</v>
      </c>
      <c r="Y162" s="475">
        <v>3799</v>
      </c>
      <c r="Z162" s="466">
        <v>8494</v>
      </c>
      <c r="AA162" s="466">
        <v>231</v>
      </c>
      <c r="AB162" s="466"/>
      <c r="AC162" s="475">
        <v>11517</v>
      </c>
      <c r="AD162" s="475">
        <v>120</v>
      </c>
      <c r="AE162" s="475"/>
      <c r="AF162" s="466"/>
      <c r="AG162" s="467"/>
    </row>
    <row r="163" spans="1:33">
      <c r="A163" s="343" t="s">
        <v>188</v>
      </c>
      <c r="B163" s="341" t="s">
        <v>194</v>
      </c>
      <c r="C163" s="344"/>
      <c r="D163" s="343">
        <v>157447</v>
      </c>
      <c r="E163" s="343">
        <v>3</v>
      </c>
      <c r="F163" s="464">
        <v>329083</v>
      </c>
      <c r="G163" s="465">
        <v>314526</v>
      </c>
      <c r="H163" s="466">
        <v>230806</v>
      </c>
      <c r="I163" s="475">
        <v>146001</v>
      </c>
      <c r="J163" s="466">
        <v>15650</v>
      </c>
      <c r="K163" s="475">
        <v>15980</v>
      </c>
      <c r="L163" s="466">
        <v>82530</v>
      </c>
      <c r="M163" s="466">
        <v>97</v>
      </c>
      <c r="N163" s="466"/>
      <c r="O163" s="475">
        <v>152515</v>
      </c>
      <c r="P163" s="467">
        <v>30</v>
      </c>
      <c r="Q163" s="467"/>
      <c r="R163" s="466"/>
      <c r="S163" s="467"/>
      <c r="T163" s="464">
        <v>60785</v>
      </c>
      <c r="U163" s="465">
        <v>76260</v>
      </c>
      <c r="V163" s="466">
        <v>23147.5</v>
      </c>
      <c r="W163" s="475">
        <v>14149</v>
      </c>
      <c r="X163" s="466">
        <v>359</v>
      </c>
      <c r="Y163" s="475">
        <v>111</v>
      </c>
      <c r="Z163" s="466">
        <v>37278.5</v>
      </c>
      <c r="AA163" s="466"/>
      <c r="AB163" s="466"/>
      <c r="AC163" s="475">
        <v>62000</v>
      </c>
      <c r="AD163" s="475"/>
      <c r="AE163" s="475"/>
      <c r="AF163" s="466"/>
      <c r="AG163" s="467"/>
    </row>
    <row r="164" spans="1:33">
      <c r="A164" s="343" t="s">
        <v>188</v>
      </c>
      <c r="B164" s="341" t="s">
        <v>195</v>
      </c>
      <c r="C164" s="342"/>
      <c r="D164" s="343">
        <v>157951</v>
      </c>
      <c r="E164" s="343">
        <v>3</v>
      </c>
      <c r="F164" s="464">
        <v>398558.5</v>
      </c>
      <c r="G164" s="465">
        <v>381158</v>
      </c>
      <c r="H164" s="466">
        <v>297097.5</v>
      </c>
      <c r="I164" s="475">
        <v>224066</v>
      </c>
      <c r="J164" s="466">
        <v>20545</v>
      </c>
      <c r="K164" s="475">
        <v>14394</v>
      </c>
      <c r="L164" s="466">
        <v>76520</v>
      </c>
      <c r="M164" s="466">
        <v>4287</v>
      </c>
      <c r="N164" s="466">
        <v>109</v>
      </c>
      <c r="O164" s="475">
        <v>140832</v>
      </c>
      <c r="P164" s="467">
        <v>1767</v>
      </c>
      <c r="Q164" s="467">
        <v>99</v>
      </c>
      <c r="R164" s="466"/>
      <c r="S164" s="467"/>
      <c r="T164" s="464">
        <v>34742.5</v>
      </c>
      <c r="U164" s="465">
        <v>34584</v>
      </c>
      <c r="V164" s="466">
        <v>13219</v>
      </c>
      <c r="W164" s="475">
        <v>9762</v>
      </c>
      <c r="X164" s="466">
        <v>1038</v>
      </c>
      <c r="Y164" s="475">
        <v>888</v>
      </c>
      <c r="Z164" s="466">
        <v>20392.5</v>
      </c>
      <c r="AA164" s="466">
        <v>63</v>
      </c>
      <c r="AB164" s="466">
        <v>30</v>
      </c>
      <c r="AC164" s="475">
        <v>23901</v>
      </c>
      <c r="AD164" s="475">
        <v>30</v>
      </c>
      <c r="AE164" s="475">
        <v>3</v>
      </c>
      <c r="AF164" s="466"/>
      <c r="AG164" s="467"/>
    </row>
    <row r="165" spans="1:33">
      <c r="A165" s="343" t="s">
        <v>188</v>
      </c>
      <c r="B165" s="341" t="s">
        <v>196</v>
      </c>
      <c r="C165" s="454" t="s">
        <v>912</v>
      </c>
      <c r="D165" s="343">
        <v>157058</v>
      </c>
      <c r="E165" s="343">
        <v>4</v>
      </c>
      <c r="F165" s="464">
        <v>44950.5</v>
      </c>
      <c r="G165" s="465">
        <v>51840</v>
      </c>
      <c r="H165" s="466">
        <v>29106.5</v>
      </c>
      <c r="I165" s="475">
        <v>32989</v>
      </c>
      <c r="J165" s="466"/>
      <c r="K165" s="475">
        <v>60</v>
      </c>
      <c r="L165" s="466">
        <v>15842</v>
      </c>
      <c r="M165" s="466">
        <v>2</v>
      </c>
      <c r="N165" s="466"/>
      <c r="O165" s="475">
        <v>18791</v>
      </c>
      <c r="P165" s="467"/>
      <c r="Q165" s="467"/>
      <c r="R165" s="466"/>
      <c r="S165" s="467"/>
      <c r="T165" s="464">
        <v>1714.5</v>
      </c>
      <c r="U165" s="465">
        <v>1914</v>
      </c>
      <c r="V165" s="466">
        <v>1243.5</v>
      </c>
      <c r="W165" s="475">
        <v>1095</v>
      </c>
      <c r="X165" s="466"/>
      <c r="Y165" s="475"/>
      <c r="Z165" s="466">
        <v>471</v>
      </c>
      <c r="AA165" s="466"/>
      <c r="AB165" s="466"/>
      <c r="AC165" s="475">
        <v>819</v>
      </c>
      <c r="AD165" s="475"/>
      <c r="AE165" s="475"/>
      <c r="AF165" s="466"/>
      <c r="AG165" s="467"/>
    </row>
    <row r="166" spans="1:33">
      <c r="A166" s="343" t="s">
        <v>188</v>
      </c>
      <c r="B166" s="341" t="s">
        <v>197</v>
      </c>
      <c r="C166" s="342" t="s">
        <v>764</v>
      </c>
      <c r="D166" s="364">
        <v>156392</v>
      </c>
      <c r="E166" s="343">
        <v>8</v>
      </c>
      <c r="F166" s="464">
        <v>195501.72</v>
      </c>
      <c r="G166" s="465">
        <v>201997</v>
      </c>
      <c r="H166" s="466">
        <v>113270.72</v>
      </c>
      <c r="I166" s="475">
        <v>94108</v>
      </c>
      <c r="J166" s="466">
        <v>6256</v>
      </c>
      <c r="K166" s="475">
        <v>7729</v>
      </c>
      <c r="L166" s="466">
        <v>75975</v>
      </c>
      <c r="M166" s="466"/>
      <c r="N166" s="466"/>
      <c r="O166" s="475">
        <v>100160</v>
      </c>
      <c r="P166" s="467"/>
      <c r="Q166" s="467"/>
      <c r="R166" s="466"/>
      <c r="S166" s="467"/>
      <c r="T166" s="464">
        <v>0</v>
      </c>
      <c r="U166" s="465">
        <v>0</v>
      </c>
      <c r="V166" s="466"/>
      <c r="W166" s="467"/>
      <c r="X166" s="466"/>
      <c r="Y166" s="467"/>
      <c r="Z166" s="466"/>
      <c r="AA166" s="466"/>
      <c r="AB166" s="466"/>
      <c r="AC166" s="467"/>
      <c r="AD166" s="467"/>
      <c r="AE166" s="467"/>
      <c r="AF166" s="466"/>
      <c r="AG166" s="467"/>
    </row>
    <row r="167" spans="1:33">
      <c r="A167" s="343" t="s">
        <v>188</v>
      </c>
      <c r="B167" s="341" t="s">
        <v>198</v>
      </c>
      <c r="C167" s="342"/>
      <c r="D167" s="343">
        <v>156921</v>
      </c>
      <c r="E167" s="343">
        <v>8</v>
      </c>
      <c r="F167" s="464">
        <v>192028.3</v>
      </c>
      <c r="G167" s="465">
        <v>188787</v>
      </c>
      <c r="H167" s="466">
        <v>114809.3</v>
      </c>
      <c r="I167" s="475">
        <v>88013</v>
      </c>
      <c r="J167" s="466">
        <v>15862</v>
      </c>
      <c r="K167" s="475">
        <v>18555</v>
      </c>
      <c r="L167" s="466">
        <v>61357</v>
      </c>
      <c r="M167" s="466"/>
      <c r="N167" s="466"/>
      <c r="O167" s="475">
        <v>82219</v>
      </c>
      <c r="P167" s="467"/>
      <c r="Q167" s="467"/>
      <c r="R167" s="466"/>
      <c r="S167" s="467"/>
      <c r="T167" s="464">
        <v>0</v>
      </c>
      <c r="U167" s="465">
        <v>0</v>
      </c>
      <c r="V167" s="466"/>
      <c r="W167" s="467"/>
      <c r="X167" s="466"/>
      <c r="Y167" s="467"/>
      <c r="Z167" s="466"/>
      <c r="AA167" s="466"/>
      <c r="AB167" s="466"/>
      <c r="AC167" s="467"/>
      <c r="AD167" s="467"/>
      <c r="AE167" s="467"/>
      <c r="AF167" s="466"/>
      <c r="AG167" s="467"/>
    </row>
    <row r="168" spans="1:33">
      <c r="A168" s="343" t="s">
        <v>188</v>
      </c>
      <c r="B168" s="341" t="s">
        <v>200</v>
      </c>
      <c r="C168" s="454" t="s">
        <v>913</v>
      </c>
      <c r="D168" s="343">
        <v>157553</v>
      </c>
      <c r="E168" s="343">
        <v>9</v>
      </c>
      <c r="F168" s="464">
        <v>59334.3</v>
      </c>
      <c r="G168" s="465">
        <v>53472</v>
      </c>
      <c r="H168" s="466">
        <v>24487.3</v>
      </c>
      <c r="I168" s="475">
        <v>20351</v>
      </c>
      <c r="J168" s="466">
        <v>337</v>
      </c>
      <c r="K168" s="475">
        <v>234</v>
      </c>
      <c r="L168" s="466">
        <v>34510</v>
      </c>
      <c r="M168" s="466"/>
      <c r="N168" s="466"/>
      <c r="O168" s="475">
        <v>32887</v>
      </c>
      <c r="P168" s="467"/>
      <c r="Q168" s="467"/>
      <c r="R168" s="466"/>
      <c r="S168" s="467"/>
      <c r="T168" s="464">
        <v>0</v>
      </c>
      <c r="U168" s="465">
        <v>0</v>
      </c>
      <c r="V168" s="466"/>
      <c r="W168" s="467"/>
      <c r="X168" s="466"/>
      <c r="Y168" s="467"/>
      <c r="Z168" s="466"/>
      <c r="AA168" s="466"/>
      <c r="AB168" s="466"/>
      <c r="AC168" s="467"/>
      <c r="AD168" s="467"/>
      <c r="AE168" s="467"/>
      <c r="AF168" s="466"/>
      <c r="AG168" s="467"/>
    </row>
    <row r="169" spans="1:33">
      <c r="A169" s="343" t="s">
        <v>188</v>
      </c>
      <c r="B169" s="341" t="s">
        <v>201</v>
      </c>
      <c r="C169" s="342"/>
      <c r="D169" s="343">
        <v>156648</v>
      </c>
      <c r="E169" s="343">
        <v>9</v>
      </c>
      <c r="F169" s="464">
        <v>107299.18</v>
      </c>
      <c r="G169" s="465">
        <v>101427</v>
      </c>
      <c r="H169" s="466">
        <v>49926.080000000002</v>
      </c>
      <c r="I169" s="475">
        <v>33338</v>
      </c>
      <c r="J169" s="466">
        <v>7217</v>
      </c>
      <c r="K169" s="475">
        <v>7853</v>
      </c>
      <c r="L169" s="466">
        <v>50156.1</v>
      </c>
      <c r="M169" s="466"/>
      <c r="N169" s="466"/>
      <c r="O169" s="475">
        <v>60236</v>
      </c>
      <c r="P169" s="467"/>
      <c r="Q169" s="467"/>
      <c r="R169" s="466"/>
      <c r="S169" s="467"/>
      <c r="T169" s="464">
        <v>0</v>
      </c>
      <c r="U169" s="465">
        <v>0</v>
      </c>
      <c r="V169" s="466"/>
      <c r="W169" s="467"/>
      <c r="X169" s="466"/>
      <c r="Y169" s="467"/>
      <c r="Z169" s="466"/>
      <c r="AA169" s="466"/>
      <c r="AB169" s="466"/>
      <c r="AC169" s="467"/>
      <c r="AD169" s="467"/>
      <c r="AE169" s="467"/>
      <c r="AF169" s="466"/>
      <c r="AG169" s="467"/>
    </row>
    <row r="170" spans="1:33">
      <c r="A170" s="343" t="s">
        <v>188</v>
      </c>
      <c r="B170" s="341" t="s">
        <v>204</v>
      </c>
      <c r="C170" s="342"/>
      <c r="D170" s="343">
        <v>157331</v>
      </c>
      <c r="E170" s="343">
        <v>9</v>
      </c>
      <c r="F170" s="464">
        <v>47106.400000000001</v>
      </c>
      <c r="G170" s="465">
        <v>61990</v>
      </c>
      <c r="H170" s="466">
        <v>24382.400000000001</v>
      </c>
      <c r="I170" s="475">
        <v>21952</v>
      </c>
      <c r="J170" s="466">
        <v>1107</v>
      </c>
      <c r="K170" s="475">
        <v>5764</v>
      </c>
      <c r="L170" s="466">
        <v>21617</v>
      </c>
      <c r="M170" s="466"/>
      <c r="N170" s="466"/>
      <c r="O170" s="475">
        <v>34274</v>
      </c>
      <c r="P170" s="467"/>
      <c r="Q170" s="467"/>
      <c r="R170" s="466"/>
      <c r="S170" s="467"/>
      <c r="T170" s="464">
        <v>0</v>
      </c>
      <c r="U170" s="465">
        <v>0</v>
      </c>
      <c r="V170" s="466"/>
      <c r="W170" s="467"/>
      <c r="X170" s="466"/>
      <c r="Y170" s="467"/>
      <c r="Z170" s="466"/>
      <c r="AA170" s="466"/>
      <c r="AB170" s="466"/>
      <c r="AC170" s="467"/>
      <c r="AD170" s="467"/>
      <c r="AE170" s="467"/>
      <c r="AF170" s="466"/>
      <c r="AG170" s="467"/>
    </row>
    <row r="171" spans="1:33">
      <c r="A171" s="343" t="s">
        <v>188</v>
      </c>
      <c r="B171" s="341" t="s">
        <v>205</v>
      </c>
      <c r="C171" s="342"/>
      <c r="D171" s="343">
        <v>247940</v>
      </c>
      <c r="E171" s="343">
        <v>9</v>
      </c>
      <c r="F171" s="464">
        <v>50659.79</v>
      </c>
      <c r="G171" s="465">
        <v>69801</v>
      </c>
      <c r="H171" s="466">
        <v>21542.79</v>
      </c>
      <c r="I171" s="475">
        <v>38653</v>
      </c>
      <c r="J171" s="466">
        <v>6255</v>
      </c>
      <c r="K171" s="475">
        <v>5337</v>
      </c>
      <c r="L171" s="466">
        <v>22862</v>
      </c>
      <c r="M171" s="466"/>
      <c r="N171" s="466"/>
      <c r="O171" s="475">
        <v>25811</v>
      </c>
      <c r="P171" s="467"/>
      <c r="Q171" s="467"/>
      <c r="R171" s="466"/>
      <c r="S171" s="467"/>
      <c r="T171" s="464">
        <v>0</v>
      </c>
      <c r="U171" s="465">
        <v>0</v>
      </c>
      <c r="V171" s="466"/>
      <c r="W171" s="467"/>
      <c r="X171" s="466"/>
      <c r="Y171" s="467"/>
      <c r="Z171" s="466"/>
      <c r="AA171" s="466"/>
      <c r="AB171" s="466"/>
      <c r="AC171" s="467"/>
      <c r="AD171" s="467"/>
      <c r="AE171" s="467"/>
      <c r="AF171" s="466"/>
      <c r="AG171" s="467"/>
    </row>
    <row r="172" spans="1:33">
      <c r="A172" s="343" t="s">
        <v>188</v>
      </c>
      <c r="B172" s="341" t="s">
        <v>206</v>
      </c>
      <c r="C172" s="342"/>
      <c r="D172" s="343">
        <v>157711</v>
      </c>
      <c r="E172" s="343">
        <v>9</v>
      </c>
      <c r="F172" s="464">
        <v>64729.2</v>
      </c>
      <c r="G172" s="465">
        <v>93347</v>
      </c>
      <c r="H172" s="466">
        <v>27105.200000000001</v>
      </c>
      <c r="I172" s="475">
        <v>31662</v>
      </c>
      <c r="J172" s="466">
        <v>6923</v>
      </c>
      <c r="K172" s="475">
        <v>3716</v>
      </c>
      <c r="L172" s="466">
        <v>30701</v>
      </c>
      <c r="M172" s="466"/>
      <c r="N172" s="466"/>
      <c r="O172" s="475">
        <v>57969</v>
      </c>
      <c r="P172" s="467"/>
      <c r="Q172" s="467"/>
      <c r="R172" s="466"/>
      <c r="S172" s="467"/>
      <c r="T172" s="464">
        <v>0</v>
      </c>
      <c r="U172" s="465">
        <v>0</v>
      </c>
      <c r="V172" s="466"/>
      <c r="W172" s="467"/>
      <c r="X172" s="466"/>
      <c r="Y172" s="467"/>
      <c r="Z172" s="466"/>
      <c r="AA172" s="466"/>
      <c r="AB172" s="466"/>
      <c r="AC172" s="467"/>
      <c r="AD172" s="467"/>
      <c r="AE172" s="467"/>
      <c r="AF172" s="466"/>
      <c r="AG172" s="467"/>
    </row>
    <row r="173" spans="1:33">
      <c r="A173" s="343" t="s">
        <v>188</v>
      </c>
      <c r="B173" s="341" t="s">
        <v>208</v>
      </c>
      <c r="C173" s="342"/>
      <c r="D173" s="343">
        <v>157483</v>
      </c>
      <c r="E173" s="343">
        <v>9</v>
      </c>
      <c r="F173" s="464">
        <v>71494.2</v>
      </c>
      <c r="G173" s="465">
        <v>85823</v>
      </c>
      <c r="H173" s="466">
        <v>43930.2</v>
      </c>
      <c r="I173" s="475">
        <v>39408</v>
      </c>
      <c r="J173" s="466">
        <v>4759</v>
      </c>
      <c r="K173" s="475">
        <v>6221</v>
      </c>
      <c r="L173" s="466">
        <v>22805</v>
      </c>
      <c r="M173" s="466"/>
      <c r="N173" s="466"/>
      <c r="O173" s="475">
        <v>40194</v>
      </c>
      <c r="P173" s="467"/>
      <c r="Q173" s="467"/>
      <c r="R173" s="466"/>
      <c r="S173" s="467"/>
      <c r="T173" s="464">
        <v>0</v>
      </c>
      <c r="U173" s="465">
        <v>0</v>
      </c>
      <c r="V173" s="466"/>
      <c r="W173" s="467"/>
      <c r="X173" s="466"/>
      <c r="Y173" s="467"/>
      <c r="Z173" s="466"/>
      <c r="AA173" s="466"/>
      <c r="AB173" s="466"/>
      <c r="AC173" s="467"/>
      <c r="AD173" s="467"/>
      <c r="AE173" s="467"/>
      <c r="AF173" s="466"/>
      <c r="AG173" s="467"/>
    </row>
    <row r="174" spans="1:33">
      <c r="A174" s="343" t="s">
        <v>188</v>
      </c>
      <c r="B174" s="341" t="s">
        <v>199</v>
      </c>
      <c r="C174" s="342"/>
      <c r="D174" s="343">
        <v>156231</v>
      </c>
      <c r="E174" s="343">
        <v>10</v>
      </c>
      <c r="F174" s="464">
        <v>55454</v>
      </c>
      <c r="G174" s="465">
        <v>53177</v>
      </c>
      <c r="H174" s="466">
        <v>29898</v>
      </c>
      <c r="I174" s="475">
        <v>26653</v>
      </c>
      <c r="J174" s="466">
        <v>2838</v>
      </c>
      <c r="K174" s="475">
        <v>2324</v>
      </c>
      <c r="L174" s="466">
        <v>22718</v>
      </c>
      <c r="M174" s="466"/>
      <c r="N174" s="466"/>
      <c r="O174" s="475">
        <v>24200</v>
      </c>
      <c r="P174" s="467"/>
      <c r="Q174" s="467"/>
      <c r="R174" s="466"/>
      <c r="S174" s="467"/>
      <c r="T174" s="464">
        <v>0</v>
      </c>
      <c r="U174" s="465">
        <v>0</v>
      </c>
      <c r="V174" s="466"/>
      <c r="W174" s="467"/>
      <c r="X174" s="466"/>
      <c r="Y174" s="467"/>
      <c r="Z174" s="466"/>
      <c r="AA174" s="466"/>
      <c r="AB174" s="466"/>
      <c r="AC174" s="467"/>
      <c r="AD174" s="467"/>
      <c r="AE174" s="467"/>
      <c r="AF174" s="466"/>
      <c r="AG174" s="467"/>
    </row>
    <row r="175" spans="1:33">
      <c r="A175" s="343" t="s">
        <v>188</v>
      </c>
      <c r="B175" s="341" t="s">
        <v>209</v>
      </c>
      <c r="C175" s="344"/>
      <c r="D175" s="343">
        <v>156790</v>
      </c>
      <c r="E175" s="343">
        <v>10</v>
      </c>
      <c r="F175" s="464">
        <v>102499.2</v>
      </c>
      <c r="G175" s="465">
        <v>51470</v>
      </c>
      <c r="H175" s="466">
        <v>37046.199999999997</v>
      </c>
      <c r="I175" s="475">
        <v>14846</v>
      </c>
      <c r="J175" s="466">
        <v>5006</v>
      </c>
      <c r="K175" s="475">
        <v>3371</v>
      </c>
      <c r="L175" s="466">
        <v>60447</v>
      </c>
      <c r="M175" s="466"/>
      <c r="N175" s="466"/>
      <c r="O175" s="475">
        <v>33253</v>
      </c>
      <c r="P175" s="467"/>
      <c r="Q175" s="467"/>
      <c r="R175" s="466"/>
      <c r="S175" s="467"/>
      <c r="T175" s="464">
        <v>0</v>
      </c>
      <c r="U175" s="465">
        <v>0</v>
      </c>
      <c r="V175" s="466"/>
      <c r="W175" s="467"/>
      <c r="X175" s="466"/>
      <c r="Y175" s="467"/>
      <c r="Z175" s="466"/>
      <c r="AA175" s="466"/>
      <c r="AB175" s="466"/>
      <c r="AC175" s="467"/>
      <c r="AD175" s="467"/>
      <c r="AE175" s="467"/>
      <c r="AF175" s="466"/>
      <c r="AG175" s="467"/>
    </row>
    <row r="176" spans="1:33">
      <c r="A176" s="343" t="s">
        <v>188</v>
      </c>
      <c r="B176" s="341" t="s">
        <v>210</v>
      </c>
      <c r="C176" s="342"/>
      <c r="D176" s="343">
        <v>156851</v>
      </c>
      <c r="E176" s="343">
        <v>10</v>
      </c>
      <c r="F176" s="464">
        <v>56053.79</v>
      </c>
      <c r="G176" s="465">
        <v>23278</v>
      </c>
      <c r="H176" s="466">
        <v>28043.79</v>
      </c>
      <c r="I176" s="475">
        <v>8879</v>
      </c>
      <c r="J176" s="466">
        <v>2351</v>
      </c>
      <c r="K176" s="475">
        <v>2276</v>
      </c>
      <c r="L176" s="466">
        <v>25659</v>
      </c>
      <c r="M176" s="466"/>
      <c r="N176" s="466"/>
      <c r="O176" s="475">
        <v>12123</v>
      </c>
      <c r="P176" s="467"/>
      <c r="Q176" s="467"/>
      <c r="R176" s="466"/>
      <c r="S176" s="467"/>
      <c r="T176" s="464">
        <v>0</v>
      </c>
      <c r="U176" s="465">
        <v>0</v>
      </c>
      <c r="V176" s="466"/>
      <c r="W176" s="467"/>
      <c r="X176" s="466"/>
      <c r="Y176" s="467"/>
      <c r="Z176" s="466"/>
      <c r="AA176" s="466"/>
      <c r="AB176" s="466"/>
      <c r="AC176" s="467"/>
      <c r="AD176" s="467"/>
      <c r="AE176" s="467"/>
      <c r="AF176" s="466"/>
      <c r="AG176" s="467"/>
    </row>
    <row r="177" spans="1:33">
      <c r="A177" s="343" t="s">
        <v>188</v>
      </c>
      <c r="B177" s="341" t="s">
        <v>202</v>
      </c>
      <c r="C177" s="344"/>
      <c r="D177" s="343">
        <v>156860</v>
      </c>
      <c r="E177" s="343">
        <v>10</v>
      </c>
      <c r="F177" s="464">
        <v>94718.170000000013</v>
      </c>
      <c r="G177" s="465">
        <v>41109</v>
      </c>
      <c r="H177" s="466">
        <v>48121.37</v>
      </c>
      <c r="I177" s="475">
        <v>18385</v>
      </c>
      <c r="J177" s="466">
        <v>7069</v>
      </c>
      <c r="K177" s="475">
        <v>1000</v>
      </c>
      <c r="L177" s="466">
        <v>39527.800000000003</v>
      </c>
      <c r="M177" s="466"/>
      <c r="N177" s="466"/>
      <c r="O177" s="475">
        <v>21724</v>
      </c>
      <c r="P177" s="467"/>
      <c r="Q177" s="467"/>
      <c r="R177" s="466"/>
      <c r="S177" s="467"/>
      <c r="T177" s="464">
        <v>0</v>
      </c>
      <c r="U177" s="465">
        <v>0</v>
      </c>
      <c r="V177" s="466"/>
      <c r="W177" s="467"/>
      <c r="X177" s="466"/>
      <c r="Y177" s="467"/>
      <c r="Z177" s="466"/>
      <c r="AA177" s="466"/>
      <c r="AB177" s="466"/>
      <c r="AC177" s="467"/>
      <c r="AD177" s="467"/>
      <c r="AE177" s="467"/>
      <c r="AF177" s="466"/>
      <c r="AG177" s="467"/>
    </row>
    <row r="178" spans="1:33">
      <c r="A178" s="343" t="s">
        <v>188</v>
      </c>
      <c r="B178" s="341" t="s">
        <v>203</v>
      </c>
      <c r="C178" s="344"/>
      <c r="D178" s="343">
        <v>157304</v>
      </c>
      <c r="E178" s="343">
        <v>10</v>
      </c>
      <c r="F178" s="464">
        <v>54952.31</v>
      </c>
      <c r="G178" s="465">
        <v>52740</v>
      </c>
      <c r="H178" s="466">
        <v>17943.009999999998</v>
      </c>
      <c r="I178" s="475">
        <v>19536</v>
      </c>
      <c r="J178" s="466">
        <v>3755.3</v>
      </c>
      <c r="K178" s="475">
        <v>6726</v>
      </c>
      <c r="L178" s="466">
        <v>33254</v>
      </c>
      <c r="M178" s="466"/>
      <c r="N178" s="466"/>
      <c r="O178" s="475">
        <v>26478</v>
      </c>
      <c r="P178" s="467"/>
      <c r="Q178" s="467"/>
      <c r="R178" s="466"/>
      <c r="S178" s="467"/>
      <c r="T178" s="464">
        <v>0</v>
      </c>
      <c r="U178" s="465">
        <v>0</v>
      </c>
      <c r="V178" s="466"/>
      <c r="W178" s="467"/>
      <c r="X178" s="466"/>
      <c r="Y178" s="467"/>
      <c r="Z178" s="466"/>
      <c r="AA178" s="466"/>
      <c r="AB178" s="466"/>
      <c r="AC178" s="467"/>
      <c r="AD178" s="467"/>
      <c r="AE178" s="467"/>
      <c r="AF178" s="466"/>
      <c r="AG178" s="467"/>
    </row>
    <row r="179" spans="1:33">
      <c r="A179" s="365" t="s">
        <v>188</v>
      </c>
      <c r="B179" s="341" t="s">
        <v>207</v>
      </c>
      <c r="C179" s="344"/>
      <c r="D179" s="343">
        <v>157739</v>
      </c>
      <c r="E179" s="343">
        <v>10</v>
      </c>
      <c r="F179" s="464">
        <v>23452</v>
      </c>
      <c r="G179" s="465">
        <v>47904</v>
      </c>
      <c r="H179" s="466">
        <v>11922</v>
      </c>
      <c r="I179" s="475">
        <v>20236</v>
      </c>
      <c r="J179" s="466">
        <v>0</v>
      </c>
      <c r="K179" s="467"/>
      <c r="L179" s="466">
        <v>11530</v>
      </c>
      <c r="M179" s="466"/>
      <c r="N179" s="466"/>
      <c r="O179" s="475">
        <v>27668</v>
      </c>
      <c r="P179" s="467"/>
      <c r="Q179" s="467"/>
      <c r="R179" s="466"/>
      <c r="S179" s="467"/>
      <c r="T179" s="464">
        <v>0</v>
      </c>
      <c r="U179" s="465">
        <v>0</v>
      </c>
      <c r="V179" s="466"/>
      <c r="W179" s="467"/>
      <c r="X179" s="466"/>
      <c r="Y179" s="467"/>
      <c r="Z179" s="466"/>
      <c r="AA179" s="466"/>
      <c r="AB179" s="466"/>
      <c r="AC179" s="467"/>
      <c r="AD179" s="467"/>
      <c r="AE179" s="467"/>
      <c r="AF179" s="466"/>
      <c r="AG179" s="467"/>
    </row>
    <row r="180" spans="1:33">
      <c r="A180" s="343" t="s">
        <v>188</v>
      </c>
      <c r="B180" s="341" t="s">
        <v>211</v>
      </c>
      <c r="C180" s="342"/>
      <c r="D180" s="343">
        <v>157438</v>
      </c>
      <c r="E180" s="343">
        <v>12</v>
      </c>
      <c r="F180" s="464">
        <v>74168.600000000006</v>
      </c>
      <c r="G180" s="465">
        <v>74313</v>
      </c>
      <c r="H180" s="466">
        <v>45793.599999999999</v>
      </c>
      <c r="I180" s="475">
        <v>37068</v>
      </c>
      <c r="J180" s="466">
        <v>2278</v>
      </c>
      <c r="K180" s="475">
        <v>4465</v>
      </c>
      <c r="L180" s="466">
        <v>26097</v>
      </c>
      <c r="M180" s="466"/>
      <c r="N180" s="466"/>
      <c r="O180" s="475">
        <v>32780</v>
      </c>
      <c r="P180" s="467"/>
      <c r="Q180" s="467"/>
      <c r="R180" s="466"/>
      <c r="S180" s="467"/>
      <c r="T180" s="464">
        <v>0</v>
      </c>
      <c r="U180" s="465">
        <v>0</v>
      </c>
      <c r="V180" s="466"/>
      <c r="W180" s="467"/>
      <c r="X180" s="466"/>
      <c r="Y180" s="467"/>
      <c r="Z180" s="466"/>
      <c r="AA180" s="466"/>
      <c r="AB180" s="466"/>
      <c r="AC180" s="467"/>
      <c r="AD180" s="467"/>
      <c r="AE180" s="467"/>
      <c r="AF180" s="466"/>
      <c r="AG180" s="467"/>
    </row>
    <row r="181" spans="1:33">
      <c r="A181" s="343" t="s">
        <v>188</v>
      </c>
      <c r="B181" s="341" t="s">
        <v>212</v>
      </c>
      <c r="C181" s="342"/>
      <c r="D181" s="343">
        <v>156338</v>
      </c>
      <c r="E181" s="343">
        <v>12</v>
      </c>
      <c r="F181" s="464">
        <v>80352.7</v>
      </c>
      <c r="G181" s="465">
        <v>76907</v>
      </c>
      <c r="H181" s="466">
        <v>48628.7</v>
      </c>
      <c r="I181" s="475">
        <v>38862</v>
      </c>
      <c r="J181" s="466">
        <v>5915</v>
      </c>
      <c r="K181" s="475">
        <v>4922</v>
      </c>
      <c r="L181" s="466">
        <v>25809</v>
      </c>
      <c r="M181" s="466"/>
      <c r="N181" s="466"/>
      <c r="O181" s="475">
        <v>33123</v>
      </c>
      <c r="P181" s="467"/>
      <c r="Q181" s="467"/>
      <c r="R181" s="466"/>
      <c r="S181" s="467"/>
      <c r="T181" s="464">
        <v>0</v>
      </c>
      <c r="U181" s="465">
        <v>0</v>
      </c>
      <c r="V181" s="466"/>
      <c r="W181" s="467"/>
      <c r="X181" s="466"/>
      <c r="Y181" s="467"/>
      <c r="Z181" s="466"/>
      <c r="AA181" s="466"/>
      <c r="AB181" s="466"/>
      <c r="AC181" s="467"/>
      <c r="AD181" s="467"/>
      <c r="AE181" s="467"/>
      <c r="AF181" s="466"/>
      <c r="AG181" s="467"/>
    </row>
    <row r="182" spans="1:33" s="14" customFormat="1" ht="13.5" customHeight="1">
      <c r="A182" s="430" t="s">
        <v>213</v>
      </c>
      <c r="B182" s="366" t="s">
        <v>214</v>
      </c>
      <c r="C182" s="367"/>
      <c r="D182" s="368">
        <v>159391</v>
      </c>
      <c r="E182" s="368">
        <v>1</v>
      </c>
      <c r="F182" s="464">
        <f t="shared" ref="F182:F245" si="16">SUM(H182,J182,L182,M182,N182,R182)</f>
        <v>701521.99999999988</v>
      </c>
      <c r="G182" s="465">
        <f t="shared" ref="G182:G245" si="17">SUM(I182,K182,O182,P182,Q182,S182)</f>
        <v>745363</v>
      </c>
      <c r="H182" s="466">
        <v>669282.60641848505</v>
      </c>
      <c r="I182" s="476">
        <v>501083.59011700301</v>
      </c>
      <c r="J182" s="466"/>
      <c r="K182" s="467"/>
      <c r="L182" s="466">
        <v>32239.3935815148</v>
      </c>
      <c r="M182" s="466"/>
      <c r="N182" s="466"/>
      <c r="O182" s="476">
        <v>244279.40988299699</v>
      </c>
      <c r="P182" s="467"/>
      <c r="Q182" s="467"/>
      <c r="R182" s="466"/>
      <c r="S182" s="467"/>
      <c r="T182" s="464">
        <f t="shared" ref="T182:T245" si="18">SUM(V182,X182,Z182,AA182,AB182,AF182)</f>
        <v>143983.50000000038</v>
      </c>
      <c r="U182" s="465">
        <f t="shared" ref="U182:U245" si="19">SUM(W182,Y182,AC182,AD182,AE182,AG182)</f>
        <v>150237.00000000041</v>
      </c>
      <c r="V182" s="466">
        <v>133418.73170494399</v>
      </c>
      <c r="W182" s="476">
        <v>121840.755434783</v>
      </c>
      <c r="X182" s="466"/>
      <c r="Y182" s="467"/>
      <c r="Z182" s="466">
        <v>10564.768295056399</v>
      </c>
      <c r="AA182" s="466"/>
      <c r="AB182" s="466"/>
      <c r="AC182" s="476">
        <v>28396.244565217399</v>
      </c>
      <c r="AD182" s="467"/>
      <c r="AE182" s="467"/>
      <c r="AF182" s="466"/>
      <c r="AG182" s="467"/>
    </row>
    <row r="183" spans="1:33">
      <c r="A183" s="430" t="s">
        <v>213</v>
      </c>
      <c r="B183" s="366" t="s">
        <v>215</v>
      </c>
      <c r="C183" s="367"/>
      <c r="D183" s="368">
        <v>159647</v>
      </c>
      <c r="E183" s="368">
        <v>2</v>
      </c>
      <c r="F183" s="464">
        <f t="shared" si="16"/>
        <v>266965.00000000017</v>
      </c>
      <c r="G183" s="465">
        <f t="shared" si="17"/>
        <v>262612.00000000012</v>
      </c>
      <c r="H183" s="466">
        <v>228469.24582284299</v>
      </c>
      <c r="I183" s="476">
        <v>194112.42158671599</v>
      </c>
      <c r="J183" s="466"/>
      <c r="K183" s="467"/>
      <c r="L183" s="466">
        <v>38495.7541771572</v>
      </c>
      <c r="M183" s="466"/>
      <c r="N183" s="466"/>
      <c r="O183" s="476">
        <v>68499.578413284107</v>
      </c>
      <c r="P183" s="467"/>
      <c r="Q183" s="467"/>
      <c r="R183" s="466"/>
      <c r="S183" s="467"/>
      <c r="T183" s="464">
        <f t="shared" si="18"/>
        <v>22038</v>
      </c>
      <c r="U183" s="465">
        <f t="shared" si="19"/>
        <v>22088</v>
      </c>
      <c r="V183" s="466">
        <v>16013.695825049699</v>
      </c>
      <c r="W183" s="476">
        <v>14242.4137235116</v>
      </c>
      <c r="X183" s="466"/>
      <c r="Y183" s="467"/>
      <c r="Z183" s="466">
        <v>6024.3041749503</v>
      </c>
      <c r="AA183" s="466"/>
      <c r="AB183" s="466"/>
      <c r="AC183" s="476">
        <v>7845.5862764883996</v>
      </c>
      <c r="AD183" s="467"/>
      <c r="AE183" s="467"/>
      <c r="AF183" s="466"/>
      <c r="AG183" s="467"/>
    </row>
    <row r="184" spans="1:33">
      <c r="A184" s="430" t="s">
        <v>213</v>
      </c>
      <c r="B184" s="366" t="s">
        <v>216</v>
      </c>
      <c r="C184" s="367"/>
      <c r="D184" s="368">
        <v>160658</v>
      </c>
      <c r="E184" s="368">
        <v>2</v>
      </c>
      <c r="F184" s="464">
        <f t="shared" si="16"/>
        <v>386247.99999999959</v>
      </c>
      <c r="G184" s="465">
        <f t="shared" si="17"/>
        <v>368365.99999999983</v>
      </c>
      <c r="H184" s="466">
        <v>336911.29300291499</v>
      </c>
      <c r="I184" s="476">
        <v>302142.14345683501</v>
      </c>
      <c r="J184" s="466"/>
      <c r="K184" s="467"/>
      <c r="L184" s="466">
        <v>49336.706997084599</v>
      </c>
      <c r="M184" s="466"/>
      <c r="N184" s="466"/>
      <c r="O184" s="476">
        <v>66223.856543164802</v>
      </c>
      <c r="P184" s="467"/>
      <c r="Q184" s="467"/>
      <c r="R184" s="466"/>
      <c r="S184" s="467"/>
      <c r="T184" s="464">
        <f t="shared" si="18"/>
        <v>38718.999999999993</v>
      </c>
      <c r="U184" s="465">
        <f t="shared" si="19"/>
        <v>40954.999999999971</v>
      </c>
      <c r="V184" s="466">
        <v>31832.899367088601</v>
      </c>
      <c r="W184" s="476">
        <v>33499.287507846799</v>
      </c>
      <c r="X184" s="466"/>
      <c r="Y184" s="467"/>
      <c r="Z184" s="466">
        <v>6886.1006329113898</v>
      </c>
      <c r="AA184" s="466"/>
      <c r="AB184" s="466"/>
      <c r="AC184" s="476">
        <v>7455.7124921531704</v>
      </c>
      <c r="AD184" s="467"/>
      <c r="AE184" s="467"/>
      <c r="AF184" s="466"/>
      <c r="AG184" s="467"/>
    </row>
    <row r="185" spans="1:33">
      <c r="A185" s="430" t="s">
        <v>213</v>
      </c>
      <c r="B185" s="366" t="s">
        <v>217</v>
      </c>
      <c r="C185" s="367"/>
      <c r="D185" s="368">
        <v>159939</v>
      </c>
      <c r="E185" s="368">
        <v>2</v>
      </c>
      <c r="F185" s="464">
        <f t="shared" si="16"/>
        <v>165664.99999999971</v>
      </c>
      <c r="G185" s="465">
        <f t="shared" si="17"/>
        <v>164434</v>
      </c>
      <c r="H185" s="466">
        <v>138525.341296928</v>
      </c>
      <c r="I185" s="476">
        <v>76731.460610932496</v>
      </c>
      <c r="J185" s="466"/>
      <c r="K185" s="467"/>
      <c r="L185" s="466">
        <v>27139.658703071698</v>
      </c>
      <c r="M185" s="466"/>
      <c r="N185" s="466"/>
      <c r="O185" s="476">
        <v>87702.539389067504</v>
      </c>
      <c r="P185" s="467"/>
      <c r="Q185" s="467"/>
      <c r="R185" s="466"/>
      <c r="S185" s="467"/>
      <c r="T185" s="464">
        <f t="shared" si="18"/>
        <v>23311.000000000022</v>
      </c>
      <c r="U185" s="465">
        <f t="shared" si="19"/>
        <v>23104</v>
      </c>
      <c r="V185" s="466">
        <v>18787.0323450135</v>
      </c>
      <c r="W185" s="476">
        <v>13190.0500463392</v>
      </c>
      <c r="X185" s="466"/>
      <c r="Y185" s="467"/>
      <c r="Z185" s="466">
        <v>4523.9676549865198</v>
      </c>
      <c r="AA185" s="466"/>
      <c r="AB185" s="466"/>
      <c r="AC185" s="476">
        <v>9913.9499536608</v>
      </c>
      <c r="AD185" s="467"/>
      <c r="AE185" s="467"/>
      <c r="AF185" s="466"/>
      <c r="AG185" s="467"/>
    </row>
    <row r="186" spans="1:33">
      <c r="A186" s="430" t="s">
        <v>213</v>
      </c>
      <c r="B186" s="366" t="s">
        <v>223</v>
      </c>
      <c r="C186" s="369"/>
      <c r="D186" s="368">
        <v>159717</v>
      </c>
      <c r="E186" s="368">
        <v>3</v>
      </c>
      <c r="F186" s="464">
        <f t="shared" si="16"/>
        <v>182438.99999999971</v>
      </c>
      <c r="G186" s="465">
        <f t="shared" si="17"/>
        <v>178508.00000000012</v>
      </c>
      <c r="H186" s="466">
        <v>139121.27453625601</v>
      </c>
      <c r="I186" s="476">
        <v>66258.698611111104</v>
      </c>
      <c r="J186" s="466"/>
      <c r="K186" s="467"/>
      <c r="L186" s="466">
        <v>43317.7254637437</v>
      </c>
      <c r="M186" s="466"/>
      <c r="N186" s="466"/>
      <c r="O186" s="476">
        <v>112249.301388889</v>
      </c>
      <c r="P186" s="467"/>
      <c r="Q186" s="467"/>
      <c r="R186" s="466"/>
      <c r="S186" s="467"/>
      <c r="T186" s="464">
        <f t="shared" si="18"/>
        <v>10602.999999999989</v>
      </c>
      <c r="U186" s="465">
        <f t="shared" si="19"/>
        <v>10794</v>
      </c>
      <c r="V186" s="466">
        <v>4582.8290766208202</v>
      </c>
      <c r="W186" s="476">
        <v>2132.1481481481501</v>
      </c>
      <c r="X186" s="466"/>
      <c r="Y186" s="467"/>
      <c r="Z186" s="466">
        <v>6020.1709233791698</v>
      </c>
      <c r="AA186" s="466"/>
      <c r="AB186" s="466"/>
      <c r="AC186" s="476">
        <v>8661.8518518518504</v>
      </c>
      <c r="AD186" s="467"/>
      <c r="AE186" s="467"/>
      <c r="AF186" s="466"/>
      <c r="AG186" s="467"/>
    </row>
    <row r="187" spans="1:33">
      <c r="A187" s="430" t="s">
        <v>213</v>
      </c>
      <c r="B187" s="366" t="s">
        <v>218</v>
      </c>
      <c r="C187" s="367"/>
      <c r="D187" s="368">
        <v>160612</v>
      </c>
      <c r="E187" s="368">
        <v>3</v>
      </c>
      <c r="F187" s="464">
        <f t="shared" si="16"/>
        <v>326452.00000000052</v>
      </c>
      <c r="G187" s="465">
        <f t="shared" si="17"/>
        <v>328315.99999999971</v>
      </c>
      <c r="H187" s="466">
        <v>269224.64283108403</v>
      </c>
      <c r="I187" s="476">
        <v>233604.85630926301</v>
      </c>
      <c r="J187" s="466"/>
      <c r="K187" s="467"/>
      <c r="L187" s="466">
        <v>57227.357168916496</v>
      </c>
      <c r="M187" s="466"/>
      <c r="N187" s="466"/>
      <c r="O187" s="476">
        <v>94711.143690736702</v>
      </c>
      <c r="P187" s="467"/>
      <c r="Q187" s="467"/>
      <c r="R187" s="466"/>
      <c r="S187" s="467"/>
      <c r="T187" s="464">
        <f t="shared" si="18"/>
        <v>16816.00000000004</v>
      </c>
      <c r="U187" s="465">
        <f t="shared" si="19"/>
        <v>16550</v>
      </c>
      <c r="V187" s="466">
        <v>11451.6199095023</v>
      </c>
      <c r="W187" s="476">
        <v>8226.94541231127</v>
      </c>
      <c r="X187" s="466"/>
      <c r="Y187" s="467"/>
      <c r="Z187" s="466">
        <v>5364.3800904977397</v>
      </c>
      <c r="AA187" s="466"/>
      <c r="AB187" s="466"/>
      <c r="AC187" s="476">
        <v>8323.05458768873</v>
      </c>
      <c r="AD187" s="467"/>
      <c r="AE187" s="467"/>
      <c r="AF187" s="466"/>
      <c r="AG187" s="467"/>
    </row>
    <row r="188" spans="1:33">
      <c r="A188" s="430" t="s">
        <v>213</v>
      </c>
      <c r="B188" s="366" t="s">
        <v>219</v>
      </c>
      <c r="C188" s="367"/>
      <c r="D188" s="368">
        <v>160621</v>
      </c>
      <c r="E188" s="368">
        <v>3</v>
      </c>
      <c r="F188" s="464">
        <f t="shared" si="16"/>
        <v>158809</v>
      </c>
      <c r="G188" s="465">
        <f t="shared" si="17"/>
        <v>156947.99999999951</v>
      </c>
      <c r="H188" s="466">
        <v>139604.96740273401</v>
      </c>
      <c r="I188" s="476">
        <v>116807.562167906</v>
      </c>
      <c r="J188" s="466"/>
      <c r="K188" s="467"/>
      <c r="L188" s="466">
        <v>19204.032597265999</v>
      </c>
      <c r="M188" s="466"/>
      <c r="N188" s="466"/>
      <c r="O188" s="476">
        <v>40140.437832093499</v>
      </c>
      <c r="P188" s="467"/>
      <c r="Q188" s="467"/>
      <c r="R188" s="466"/>
      <c r="S188" s="467"/>
      <c r="T188" s="464">
        <f t="shared" si="18"/>
        <v>15770.999999999949</v>
      </c>
      <c r="U188" s="465">
        <f t="shared" si="19"/>
        <v>14822.99999999998</v>
      </c>
      <c r="V188" s="466">
        <v>13542.697929354399</v>
      </c>
      <c r="W188" s="476">
        <v>10594.2162162162</v>
      </c>
      <c r="X188" s="466"/>
      <c r="Y188" s="467"/>
      <c r="Z188" s="466">
        <v>2228.30207064555</v>
      </c>
      <c r="AA188" s="466"/>
      <c r="AB188" s="466"/>
      <c r="AC188" s="476">
        <v>4228.7837837837797</v>
      </c>
      <c r="AD188" s="467"/>
      <c r="AE188" s="467"/>
      <c r="AF188" s="466"/>
      <c r="AG188" s="467"/>
    </row>
    <row r="189" spans="1:33">
      <c r="A189" s="430" t="s">
        <v>213</v>
      </c>
      <c r="B189" s="366" t="s">
        <v>220</v>
      </c>
      <c r="C189" s="367"/>
      <c r="D189" s="368">
        <v>159993</v>
      </c>
      <c r="E189" s="368">
        <v>3</v>
      </c>
      <c r="F189" s="464">
        <f t="shared" si="16"/>
        <v>180638</v>
      </c>
      <c r="G189" s="465">
        <f t="shared" si="17"/>
        <v>175676</v>
      </c>
      <c r="H189" s="466">
        <v>131137.20000000001</v>
      </c>
      <c r="I189" s="476">
        <v>87344.343199700306</v>
      </c>
      <c r="J189" s="466"/>
      <c r="K189" s="467"/>
      <c r="L189" s="466">
        <v>49500.800000000003</v>
      </c>
      <c r="M189" s="466"/>
      <c r="N189" s="466"/>
      <c r="O189" s="476">
        <v>88331.656800299694</v>
      </c>
      <c r="P189" s="467"/>
      <c r="Q189" s="467"/>
      <c r="R189" s="466"/>
      <c r="S189" s="467"/>
      <c r="T189" s="464">
        <f t="shared" si="18"/>
        <v>38869</v>
      </c>
      <c r="U189" s="465">
        <f t="shared" si="19"/>
        <v>42331</v>
      </c>
      <c r="V189" s="466">
        <v>15671.171965317901</v>
      </c>
      <c r="W189" s="476">
        <v>13033.9556171983</v>
      </c>
      <c r="X189" s="466"/>
      <c r="Y189" s="467"/>
      <c r="Z189" s="466">
        <v>23197.828034682101</v>
      </c>
      <c r="AA189" s="466"/>
      <c r="AB189" s="466"/>
      <c r="AC189" s="476">
        <v>29297.044382801701</v>
      </c>
      <c r="AD189" s="467"/>
      <c r="AE189" s="467"/>
      <c r="AF189" s="466"/>
      <c r="AG189" s="467"/>
    </row>
    <row r="190" spans="1:33">
      <c r="A190" s="430" t="s">
        <v>213</v>
      </c>
      <c r="B190" s="366" t="s">
        <v>221</v>
      </c>
      <c r="C190" s="367"/>
      <c r="D190" s="368">
        <v>159009</v>
      </c>
      <c r="E190" s="368">
        <v>4</v>
      </c>
      <c r="F190" s="464">
        <f t="shared" si="16"/>
        <v>120395.00000000029</v>
      </c>
      <c r="G190" s="465">
        <f t="shared" si="17"/>
        <v>126302</v>
      </c>
      <c r="H190" s="466">
        <v>109480.068681319</v>
      </c>
      <c r="I190" s="476">
        <v>50091.064327485401</v>
      </c>
      <c r="J190" s="466"/>
      <c r="K190" s="467"/>
      <c r="L190" s="466">
        <v>10914.9313186813</v>
      </c>
      <c r="M190" s="466"/>
      <c r="N190" s="466"/>
      <c r="O190" s="476">
        <v>76210.935672514606</v>
      </c>
      <c r="P190" s="467"/>
      <c r="Q190" s="467"/>
      <c r="R190" s="466"/>
      <c r="S190" s="467"/>
      <c r="T190" s="464">
        <f t="shared" si="18"/>
        <v>18096.00000000004</v>
      </c>
      <c r="U190" s="465">
        <f t="shared" si="19"/>
        <v>16346</v>
      </c>
      <c r="V190" s="466">
        <v>10241.142857142901</v>
      </c>
      <c r="W190" s="476">
        <v>3887.4441260745002</v>
      </c>
      <c r="X190" s="466"/>
      <c r="Y190" s="467"/>
      <c r="Z190" s="466">
        <v>7854.8571428571404</v>
      </c>
      <c r="AA190" s="466"/>
      <c r="AB190" s="466"/>
      <c r="AC190" s="476">
        <v>12458.555873925499</v>
      </c>
      <c r="AD190" s="467"/>
      <c r="AE190" s="467"/>
      <c r="AF190" s="466"/>
      <c r="AG190" s="467"/>
    </row>
    <row r="191" spans="1:33">
      <c r="A191" s="430" t="s">
        <v>213</v>
      </c>
      <c r="B191" s="366" t="s">
        <v>222</v>
      </c>
      <c r="C191" s="367"/>
      <c r="D191" s="368">
        <v>159416</v>
      </c>
      <c r="E191" s="368">
        <v>4</v>
      </c>
      <c r="F191" s="464">
        <f t="shared" si="16"/>
        <v>59855</v>
      </c>
      <c r="G191" s="465">
        <f t="shared" si="17"/>
        <v>60666</v>
      </c>
      <c r="H191" s="466">
        <v>36477.586588061902</v>
      </c>
      <c r="I191" s="476">
        <v>39179.236823612096</v>
      </c>
      <c r="J191" s="466"/>
      <c r="K191" s="467"/>
      <c r="L191" s="466">
        <v>23377.413411938101</v>
      </c>
      <c r="M191" s="466"/>
      <c r="N191" s="466"/>
      <c r="O191" s="476">
        <v>21486.7631763879</v>
      </c>
      <c r="P191" s="467"/>
      <c r="Q191" s="467"/>
      <c r="R191" s="466"/>
      <c r="S191" s="467"/>
      <c r="T191" s="464">
        <f t="shared" si="18"/>
        <v>97416</v>
      </c>
      <c r="U191" s="465">
        <f t="shared" si="19"/>
        <v>124502</v>
      </c>
      <c r="V191" s="466">
        <v>26470.066350710898</v>
      </c>
      <c r="W191" s="476">
        <v>28531.708333333299</v>
      </c>
      <c r="X191" s="466"/>
      <c r="Y191" s="467"/>
      <c r="Z191" s="466">
        <v>70945.933649289102</v>
      </c>
      <c r="AA191" s="466"/>
      <c r="AB191" s="466"/>
      <c r="AC191" s="476">
        <v>95970.291666666701</v>
      </c>
      <c r="AD191" s="467"/>
      <c r="AE191" s="467"/>
      <c r="AF191" s="466"/>
      <c r="AG191" s="467"/>
    </row>
    <row r="192" spans="1:33">
      <c r="A192" s="430" t="s">
        <v>213</v>
      </c>
      <c r="B192" s="366" t="s">
        <v>224</v>
      </c>
      <c r="C192" s="367"/>
      <c r="D192" s="368">
        <v>159966</v>
      </c>
      <c r="E192" s="368">
        <v>4</v>
      </c>
      <c r="F192" s="464">
        <f t="shared" si="16"/>
        <v>158842.00000000029</v>
      </c>
      <c r="G192" s="465">
        <f t="shared" si="17"/>
        <v>161193</v>
      </c>
      <c r="H192" s="466">
        <v>108835.103346819</v>
      </c>
      <c r="I192" s="476">
        <v>72972.506756756804</v>
      </c>
      <c r="J192" s="466"/>
      <c r="K192" s="467"/>
      <c r="L192" s="466">
        <v>50006.896653181298</v>
      </c>
      <c r="M192" s="466"/>
      <c r="N192" s="466"/>
      <c r="O192" s="476">
        <v>88220.493243243196</v>
      </c>
      <c r="P192" s="467"/>
      <c r="Q192" s="467"/>
      <c r="R192" s="466"/>
      <c r="S192" s="467"/>
      <c r="T192" s="464">
        <f t="shared" si="18"/>
        <v>10308</v>
      </c>
      <c r="U192" s="465">
        <f t="shared" si="19"/>
        <v>11513</v>
      </c>
      <c r="V192" s="466">
        <v>3759.38823529412</v>
      </c>
      <c r="W192" s="476">
        <v>3259.7048192771099</v>
      </c>
      <c r="X192" s="466"/>
      <c r="Y192" s="467"/>
      <c r="Z192" s="466">
        <v>6548.61176470588</v>
      </c>
      <c r="AA192" s="466"/>
      <c r="AB192" s="466"/>
      <c r="AC192" s="476">
        <v>8253.2951807228892</v>
      </c>
      <c r="AD192" s="467"/>
      <c r="AE192" s="467"/>
      <c r="AF192" s="466"/>
      <c r="AG192" s="467"/>
    </row>
    <row r="193" spans="1:33">
      <c r="A193" s="430" t="s">
        <v>213</v>
      </c>
      <c r="B193" s="366" t="s">
        <v>225</v>
      </c>
      <c r="C193" s="367"/>
      <c r="D193" s="368">
        <v>160038</v>
      </c>
      <c r="E193" s="368">
        <v>4</v>
      </c>
      <c r="F193" s="464">
        <f t="shared" si="16"/>
        <v>240675.99999999988</v>
      </c>
      <c r="G193" s="465">
        <f t="shared" si="17"/>
        <v>238814</v>
      </c>
      <c r="H193" s="466">
        <v>159196.63019333599</v>
      </c>
      <c r="I193" s="476">
        <v>137393.98449920499</v>
      </c>
      <c r="J193" s="466"/>
      <c r="K193" s="467"/>
      <c r="L193" s="466">
        <v>81479.369806663904</v>
      </c>
      <c r="M193" s="466"/>
      <c r="N193" s="466"/>
      <c r="O193" s="476">
        <v>101420.01550079499</v>
      </c>
      <c r="P193" s="467"/>
      <c r="Q193" s="467"/>
      <c r="R193" s="466"/>
      <c r="S193" s="467"/>
      <c r="T193" s="464">
        <f t="shared" si="18"/>
        <v>14528.999999999991</v>
      </c>
      <c r="U193" s="465">
        <f t="shared" si="19"/>
        <v>15591.00000000002</v>
      </c>
      <c r="V193" s="466">
        <v>3384.5965909090901</v>
      </c>
      <c r="W193" s="476">
        <v>2521.7510548523201</v>
      </c>
      <c r="X193" s="466"/>
      <c r="Y193" s="467"/>
      <c r="Z193" s="466">
        <v>11144.403409090901</v>
      </c>
      <c r="AA193" s="466"/>
      <c r="AB193" s="466"/>
      <c r="AC193" s="476">
        <v>13069.248945147699</v>
      </c>
      <c r="AD193" s="467"/>
      <c r="AE193" s="467"/>
      <c r="AF193" s="466"/>
      <c r="AG193" s="467"/>
    </row>
    <row r="194" spans="1:33">
      <c r="A194" s="368" t="s">
        <v>213</v>
      </c>
      <c r="B194" s="366" t="s">
        <v>226</v>
      </c>
      <c r="C194" s="369"/>
      <c r="D194" s="368">
        <v>160630</v>
      </c>
      <c r="E194" s="368">
        <v>5</v>
      </c>
      <c r="F194" s="464">
        <f t="shared" si="16"/>
        <v>46277</v>
      </c>
      <c r="G194" s="465">
        <f t="shared" si="17"/>
        <v>41596</v>
      </c>
      <c r="H194" s="466">
        <v>32266.1875</v>
      </c>
      <c r="I194" s="476">
        <v>0</v>
      </c>
      <c r="J194" s="466"/>
      <c r="K194" s="467"/>
      <c r="L194" s="466">
        <v>14010.8125</v>
      </c>
      <c r="M194" s="466"/>
      <c r="N194" s="466"/>
      <c r="O194" s="476">
        <v>41596</v>
      </c>
      <c r="P194" s="467"/>
      <c r="Q194" s="467"/>
      <c r="R194" s="466"/>
      <c r="S194" s="467"/>
      <c r="T194" s="464">
        <f t="shared" si="18"/>
        <v>8874</v>
      </c>
      <c r="U194" s="465">
        <f t="shared" si="19"/>
        <v>7039</v>
      </c>
      <c r="V194" s="466">
        <v>6487.2</v>
      </c>
      <c r="W194" s="476">
        <v>0</v>
      </c>
      <c r="X194" s="466"/>
      <c r="Y194" s="467"/>
      <c r="Z194" s="466">
        <v>2386.8000000000002</v>
      </c>
      <c r="AA194" s="466"/>
      <c r="AB194" s="466"/>
      <c r="AC194" s="476">
        <v>7039</v>
      </c>
      <c r="AD194" s="467"/>
      <c r="AE194" s="467"/>
      <c r="AF194" s="466"/>
      <c r="AG194" s="467"/>
    </row>
    <row r="195" spans="1:33">
      <c r="A195" s="430" t="s">
        <v>213</v>
      </c>
      <c r="B195" s="366" t="s">
        <v>227</v>
      </c>
      <c r="C195" s="369"/>
      <c r="D195" s="368">
        <v>159382</v>
      </c>
      <c r="E195" s="368">
        <v>6</v>
      </c>
      <c r="F195" s="464">
        <f t="shared" si="16"/>
        <v>75010</v>
      </c>
      <c r="G195" s="465">
        <f t="shared" si="17"/>
        <v>80535</v>
      </c>
      <c r="H195" s="466">
        <v>43707.033356990803</v>
      </c>
      <c r="I195" s="476">
        <v>41532.6091954023</v>
      </c>
      <c r="J195" s="466"/>
      <c r="K195" s="467"/>
      <c r="L195" s="466">
        <v>31302.9666430092</v>
      </c>
      <c r="M195" s="466"/>
      <c r="N195" s="466"/>
      <c r="O195" s="476">
        <v>39002.3908045977</v>
      </c>
      <c r="P195" s="467"/>
      <c r="Q195" s="467"/>
      <c r="R195" s="466"/>
      <c r="S195" s="467"/>
      <c r="T195" s="464">
        <f t="shared" si="18"/>
        <v>0</v>
      </c>
      <c r="U195" s="465">
        <f t="shared" si="19"/>
        <v>0</v>
      </c>
      <c r="V195" s="466"/>
      <c r="W195" s="467"/>
      <c r="X195" s="466"/>
      <c r="Y195" s="467"/>
      <c r="Z195" s="466"/>
      <c r="AA195" s="466"/>
      <c r="AB195" s="466"/>
      <c r="AC195" s="467"/>
      <c r="AD195" s="467"/>
      <c r="AE195" s="467"/>
      <c r="AF195" s="466"/>
      <c r="AG195" s="467"/>
    </row>
    <row r="196" spans="1:33">
      <c r="A196" s="430" t="s">
        <v>213</v>
      </c>
      <c r="B196" s="366" t="s">
        <v>228</v>
      </c>
      <c r="C196" s="367"/>
      <c r="D196" s="368">
        <v>437103</v>
      </c>
      <c r="E196" s="368">
        <v>8</v>
      </c>
      <c r="F196" s="464">
        <f t="shared" si="16"/>
        <v>166797</v>
      </c>
      <c r="G196" s="465">
        <f t="shared" si="17"/>
        <v>154897</v>
      </c>
      <c r="H196" s="466">
        <v>129903.99472402599</v>
      </c>
      <c r="I196" s="476">
        <v>56047.3393339334</v>
      </c>
      <c r="J196" s="466"/>
      <c r="K196" s="467"/>
      <c r="L196" s="466">
        <v>36893.005275973999</v>
      </c>
      <c r="M196" s="466"/>
      <c r="N196" s="466"/>
      <c r="O196" s="476">
        <v>98849.6606660666</v>
      </c>
      <c r="P196" s="467"/>
      <c r="Q196" s="467"/>
      <c r="R196" s="466"/>
      <c r="S196" s="467"/>
      <c r="T196" s="464">
        <f t="shared" si="18"/>
        <v>0</v>
      </c>
      <c r="U196" s="465">
        <f t="shared" si="19"/>
        <v>0</v>
      </c>
      <c r="V196" s="466"/>
      <c r="W196" s="467"/>
      <c r="X196" s="466"/>
      <c r="Y196" s="467"/>
      <c r="Z196" s="466"/>
      <c r="AA196" s="466"/>
      <c r="AB196" s="466"/>
      <c r="AC196" s="467"/>
      <c r="AD196" s="467"/>
      <c r="AE196" s="467"/>
      <c r="AF196" s="466"/>
      <c r="AG196" s="467"/>
    </row>
    <row r="197" spans="1:33">
      <c r="A197" s="430" t="s">
        <v>213</v>
      </c>
      <c r="B197" s="366" t="s">
        <v>230</v>
      </c>
      <c r="C197" s="367"/>
      <c r="D197" s="368">
        <v>158662</v>
      </c>
      <c r="E197" s="368">
        <v>8</v>
      </c>
      <c r="F197" s="464">
        <f t="shared" si="16"/>
        <v>273512.99999999988</v>
      </c>
      <c r="G197" s="465">
        <f t="shared" si="17"/>
        <v>275618</v>
      </c>
      <c r="H197" s="466">
        <v>217655.065013774</v>
      </c>
      <c r="I197" s="476">
        <v>133996.504610845</v>
      </c>
      <c r="J197" s="466"/>
      <c r="K197" s="467"/>
      <c r="L197" s="466">
        <v>55857.934986225897</v>
      </c>
      <c r="M197" s="466"/>
      <c r="N197" s="466"/>
      <c r="O197" s="476">
        <v>141621.495389155</v>
      </c>
      <c r="P197" s="467"/>
      <c r="Q197" s="467"/>
      <c r="R197" s="466"/>
      <c r="S197" s="467"/>
      <c r="T197" s="464">
        <f t="shared" si="18"/>
        <v>0</v>
      </c>
      <c r="U197" s="465">
        <f t="shared" si="19"/>
        <v>0</v>
      </c>
      <c r="V197" s="466"/>
      <c r="W197" s="467"/>
      <c r="X197" s="466"/>
      <c r="Y197" s="467"/>
      <c r="Z197" s="466"/>
      <c r="AA197" s="466"/>
      <c r="AB197" s="466"/>
      <c r="AC197" s="467"/>
      <c r="AD197" s="467"/>
      <c r="AE197" s="467"/>
      <c r="AF197" s="466"/>
      <c r="AG197" s="467"/>
    </row>
    <row r="198" spans="1:33">
      <c r="A198" s="430" t="s">
        <v>213</v>
      </c>
      <c r="B198" s="366" t="s">
        <v>229</v>
      </c>
      <c r="C198" s="367"/>
      <c r="D198" s="368">
        <v>158431</v>
      </c>
      <c r="E198" s="368">
        <v>9</v>
      </c>
      <c r="F198" s="464">
        <f t="shared" si="16"/>
        <v>134390</v>
      </c>
      <c r="G198" s="465">
        <f t="shared" si="17"/>
        <v>130050</v>
      </c>
      <c r="H198" s="466">
        <v>87769.752212389401</v>
      </c>
      <c r="I198" s="476">
        <v>49671.875</v>
      </c>
      <c r="J198" s="466"/>
      <c r="K198" s="467"/>
      <c r="L198" s="466">
        <v>46620.247787610599</v>
      </c>
      <c r="M198" s="466"/>
      <c r="N198" s="466"/>
      <c r="O198" s="476">
        <v>80378.125</v>
      </c>
      <c r="P198" s="467"/>
      <c r="Q198" s="467"/>
      <c r="R198" s="466"/>
      <c r="S198" s="467"/>
      <c r="T198" s="464">
        <f t="shared" si="18"/>
        <v>0</v>
      </c>
      <c r="U198" s="465">
        <f t="shared" si="19"/>
        <v>0</v>
      </c>
      <c r="V198" s="466"/>
      <c r="W198" s="467"/>
      <c r="X198" s="466"/>
      <c r="Y198" s="467"/>
      <c r="Z198" s="466"/>
      <c r="AA198" s="466"/>
      <c r="AB198" s="466"/>
      <c r="AC198" s="467"/>
      <c r="AD198" s="467"/>
      <c r="AE198" s="467"/>
      <c r="AF198" s="466"/>
      <c r="AG198" s="467"/>
    </row>
    <row r="199" spans="1:33">
      <c r="A199" s="430" t="s">
        <v>213</v>
      </c>
      <c r="B199" s="366" t="s">
        <v>231</v>
      </c>
      <c r="C199" s="369"/>
      <c r="D199" s="368">
        <v>483212</v>
      </c>
      <c r="E199" s="368">
        <v>9</v>
      </c>
      <c r="F199" s="464">
        <f t="shared" si="16"/>
        <v>92065.5</v>
      </c>
      <c r="G199" s="465">
        <f t="shared" si="17"/>
        <v>84462</v>
      </c>
      <c r="H199" s="466">
        <v>59104.843017806903</v>
      </c>
      <c r="I199" s="476">
        <v>47255.4565774156</v>
      </c>
      <c r="J199" s="466"/>
      <c r="K199" s="467"/>
      <c r="L199" s="466">
        <v>32960.656982193097</v>
      </c>
      <c r="M199" s="466"/>
      <c r="N199" s="466"/>
      <c r="O199" s="476">
        <v>37206.5434225844</v>
      </c>
      <c r="P199" s="467"/>
      <c r="Q199" s="467"/>
      <c r="R199" s="466"/>
      <c r="S199" s="467"/>
      <c r="T199" s="464">
        <f t="shared" si="18"/>
        <v>0</v>
      </c>
      <c r="U199" s="465">
        <f t="shared" si="19"/>
        <v>0</v>
      </c>
      <c r="V199" s="466"/>
      <c r="W199" s="467"/>
      <c r="X199" s="466"/>
      <c r="Y199" s="467"/>
      <c r="Z199" s="466"/>
      <c r="AA199" s="466"/>
      <c r="AB199" s="466"/>
      <c r="AC199" s="467"/>
      <c r="AD199" s="467"/>
      <c r="AE199" s="467"/>
      <c r="AF199" s="466"/>
      <c r="AG199" s="467"/>
    </row>
    <row r="200" spans="1:33">
      <c r="A200" s="430" t="s">
        <v>213</v>
      </c>
      <c r="B200" s="366" t="s">
        <v>232</v>
      </c>
      <c r="C200" s="367"/>
      <c r="D200" s="368">
        <v>434061</v>
      </c>
      <c r="E200" s="368">
        <v>9</v>
      </c>
      <c r="F200" s="464">
        <f t="shared" si="16"/>
        <v>142944</v>
      </c>
      <c r="G200" s="465">
        <f t="shared" si="17"/>
        <v>139465</v>
      </c>
      <c r="H200" s="466">
        <v>112052.87615610199</v>
      </c>
      <c r="I200" s="476">
        <v>75108.701814058993</v>
      </c>
      <c r="J200" s="466"/>
      <c r="K200" s="467"/>
      <c r="L200" s="466">
        <v>30891.123843898</v>
      </c>
      <c r="M200" s="466"/>
      <c r="N200" s="466"/>
      <c r="O200" s="476">
        <v>64356.298185940999</v>
      </c>
      <c r="P200" s="467"/>
      <c r="Q200" s="467"/>
      <c r="R200" s="466"/>
      <c r="S200" s="467"/>
      <c r="T200" s="464">
        <f t="shared" si="18"/>
        <v>0</v>
      </c>
      <c r="U200" s="465">
        <f t="shared" si="19"/>
        <v>0</v>
      </c>
      <c r="V200" s="466"/>
      <c r="W200" s="467"/>
      <c r="X200" s="466"/>
      <c r="Y200" s="467"/>
      <c r="Z200" s="466"/>
      <c r="AA200" s="466"/>
      <c r="AB200" s="466"/>
      <c r="AC200" s="467"/>
      <c r="AD200" s="467"/>
      <c r="AE200" s="467"/>
      <c r="AF200" s="466"/>
      <c r="AG200" s="467"/>
    </row>
    <row r="201" spans="1:33">
      <c r="A201" s="430" t="s">
        <v>213</v>
      </c>
      <c r="B201" s="366" t="s">
        <v>233</v>
      </c>
      <c r="C201" s="369"/>
      <c r="D201" s="368">
        <v>160649</v>
      </c>
      <c r="E201" s="368">
        <v>9</v>
      </c>
      <c r="F201" s="464">
        <f t="shared" si="16"/>
        <v>65648</v>
      </c>
      <c r="G201" s="465">
        <f t="shared" si="17"/>
        <v>61383</v>
      </c>
      <c r="H201" s="466">
        <v>51059.555555555598</v>
      </c>
      <c r="I201" s="476">
        <v>40446.519490254897</v>
      </c>
      <c r="J201" s="466"/>
      <c r="K201" s="467"/>
      <c r="L201" s="466">
        <v>14588.4444444444</v>
      </c>
      <c r="M201" s="466"/>
      <c r="N201" s="466"/>
      <c r="O201" s="476">
        <v>20936.480509745099</v>
      </c>
      <c r="P201" s="467"/>
      <c r="Q201" s="467"/>
      <c r="R201" s="466"/>
      <c r="S201" s="467"/>
      <c r="T201" s="464">
        <f t="shared" si="18"/>
        <v>0</v>
      </c>
      <c r="U201" s="465">
        <f t="shared" si="19"/>
        <v>0</v>
      </c>
      <c r="V201" s="466"/>
      <c r="W201" s="467"/>
      <c r="X201" s="466"/>
      <c r="Y201" s="467"/>
      <c r="Z201" s="466"/>
      <c r="AA201" s="466"/>
      <c r="AB201" s="466"/>
      <c r="AC201" s="467"/>
      <c r="AD201" s="467"/>
      <c r="AE201" s="467"/>
      <c r="AF201" s="466"/>
      <c r="AG201" s="467"/>
    </row>
    <row r="202" spans="1:33">
      <c r="A202" s="430" t="s">
        <v>213</v>
      </c>
      <c r="B202" s="366" t="s">
        <v>234</v>
      </c>
      <c r="C202" s="431" t="s">
        <v>902</v>
      </c>
      <c r="D202" s="432">
        <v>159407</v>
      </c>
      <c r="E202" s="433">
        <v>9</v>
      </c>
      <c r="F202" s="464">
        <f t="shared" si="16"/>
        <v>61881</v>
      </c>
      <c r="G202" s="465">
        <f t="shared" si="17"/>
        <v>60805</v>
      </c>
      <c r="H202" s="466">
        <v>41133.020527859197</v>
      </c>
      <c r="I202" s="476">
        <v>34728.306613226501</v>
      </c>
      <c r="J202" s="466"/>
      <c r="K202" s="467"/>
      <c r="L202" s="466">
        <v>20747.9794721408</v>
      </c>
      <c r="M202" s="466"/>
      <c r="N202" s="466"/>
      <c r="O202" s="476">
        <v>26076.693386773499</v>
      </c>
      <c r="P202" s="467"/>
      <c r="Q202" s="467"/>
      <c r="R202" s="466"/>
      <c r="S202" s="467"/>
      <c r="T202" s="464">
        <f t="shared" si="18"/>
        <v>0</v>
      </c>
      <c r="U202" s="465">
        <f t="shared" si="19"/>
        <v>0</v>
      </c>
      <c r="V202" s="466"/>
      <c r="W202" s="467"/>
      <c r="X202" s="466"/>
      <c r="Y202" s="467"/>
      <c r="Z202" s="466"/>
      <c r="AA202" s="466"/>
      <c r="AB202" s="466"/>
      <c r="AC202" s="467"/>
      <c r="AD202" s="467"/>
      <c r="AE202" s="467"/>
      <c r="AF202" s="466"/>
      <c r="AG202" s="467"/>
    </row>
    <row r="203" spans="1:33">
      <c r="A203" s="430" t="s">
        <v>213</v>
      </c>
      <c r="B203" s="366" t="s">
        <v>235</v>
      </c>
      <c r="C203" s="367"/>
      <c r="D203" s="368">
        <v>158884</v>
      </c>
      <c r="E203" s="368">
        <v>10</v>
      </c>
      <c r="F203" s="464">
        <f t="shared" si="16"/>
        <v>43840</v>
      </c>
      <c r="G203" s="465">
        <f t="shared" si="17"/>
        <v>44603</v>
      </c>
      <c r="H203" s="466">
        <v>26879.676767676799</v>
      </c>
      <c r="I203" s="476">
        <v>18447.699716713902</v>
      </c>
      <c r="J203" s="466"/>
      <c r="K203" s="467"/>
      <c r="L203" s="466">
        <v>16960.323232323201</v>
      </c>
      <c r="M203" s="466"/>
      <c r="N203" s="466"/>
      <c r="O203" s="476">
        <v>26155.300283286098</v>
      </c>
      <c r="P203" s="467"/>
      <c r="Q203" s="467"/>
      <c r="R203" s="466"/>
      <c r="S203" s="467"/>
      <c r="T203" s="464">
        <f t="shared" si="18"/>
        <v>0</v>
      </c>
      <c r="U203" s="465">
        <f t="shared" si="19"/>
        <v>0</v>
      </c>
      <c r="V203" s="466"/>
      <c r="W203" s="467"/>
      <c r="X203" s="466"/>
      <c r="Y203" s="467"/>
      <c r="Z203" s="466"/>
      <c r="AA203" s="466"/>
      <c r="AB203" s="466"/>
      <c r="AC203" s="467"/>
      <c r="AD203" s="467"/>
      <c r="AE203" s="467"/>
      <c r="AF203" s="466"/>
      <c r="AG203" s="467"/>
    </row>
    <row r="204" spans="1:33">
      <c r="A204" s="368" t="s">
        <v>213</v>
      </c>
      <c r="B204" s="366" t="s">
        <v>236</v>
      </c>
      <c r="C204" s="367" t="s">
        <v>718</v>
      </c>
      <c r="D204" s="368">
        <v>436304</v>
      </c>
      <c r="E204" s="368">
        <v>10</v>
      </c>
      <c r="F204" s="464">
        <f t="shared" si="16"/>
        <v>61520</v>
      </c>
      <c r="G204" s="465">
        <f t="shared" si="17"/>
        <v>58568</v>
      </c>
      <c r="H204" s="466">
        <v>51212.060630888998</v>
      </c>
      <c r="I204" s="476">
        <v>37514.459760627302</v>
      </c>
      <c r="J204" s="466"/>
      <c r="K204" s="467"/>
      <c r="L204" s="466">
        <v>10307.939369111</v>
      </c>
      <c r="M204" s="466"/>
      <c r="N204" s="466"/>
      <c r="O204" s="476">
        <v>21053.540239372702</v>
      </c>
      <c r="P204" s="467"/>
      <c r="Q204" s="467"/>
      <c r="R204" s="466"/>
      <c r="S204" s="467"/>
      <c r="T204" s="464">
        <f t="shared" si="18"/>
        <v>0</v>
      </c>
      <c r="U204" s="465">
        <f t="shared" si="19"/>
        <v>0</v>
      </c>
      <c r="V204" s="466"/>
      <c r="W204" s="467"/>
      <c r="X204" s="466"/>
      <c r="Y204" s="467"/>
      <c r="Z204" s="466"/>
      <c r="AA204" s="466"/>
      <c r="AB204" s="466"/>
      <c r="AC204" s="467"/>
      <c r="AD204" s="467"/>
      <c r="AE204" s="467"/>
      <c r="AF204" s="466"/>
      <c r="AG204" s="467"/>
    </row>
    <row r="205" spans="1:33">
      <c r="A205" s="368" t="s">
        <v>213</v>
      </c>
      <c r="B205" s="366" t="s">
        <v>713</v>
      </c>
      <c r="C205" s="367"/>
      <c r="D205" s="368">
        <v>158088</v>
      </c>
      <c r="E205" s="368">
        <v>12</v>
      </c>
      <c r="F205" s="464">
        <f t="shared" si="16"/>
        <v>45534.000000000044</v>
      </c>
      <c r="G205" s="465">
        <f t="shared" si="17"/>
        <v>43041</v>
      </c>
      <c r="H205" s="466">
        <v>39137.602334306001</v>
      </c>
      <c r="I205" s="476">
        <v>32715.298557692298</v>
      </c>
      <c r="J205" s="466"/>
      <c r="K205" s="467"/>
      <c r="L205" s="466">
        <v>6396.3976656940404</v>
      </c>
      <c r="M205" s="466"/>
      <c r="N205" s="466"/>
      <c r="O205" s="476">
        <v>10325.7014423077</v>
      </c>
      <c r="P205" s="467"/>
      <c r="Q205" s="467"/>
      <c r="R205" s="466"/>
      <c r="S205" s="467"/>
      <c r="T205" s="464">
        <f t="shared" si="18"/>
        <v>0</v>
      </c>
      <c r="U205" s="465">
        <f t="shared" si="19"/>
        <v>0</v>
      </c>
      <c r="V205" s="466"/>
      <c r="W205" s="467"/>
      <c r="X205" s="466"/>
      <c r="Y205" s="467"/>
      <c r="Z205" s="466"/>
      <c r="AA205" s="466"/>
      <c r="AB205" s="466"/>
      <c r="AC205" s="467"/>
      <c r="AD205" s="467"/>
      <c r="AE205" s="467"/>
      <c r="AF205" s="466"/>
      <c r="AG205" s="467"/>
    </row>
    <row r="206" spans="1:33">
      <c r="A206" s="368" t="s">
        <v>213</v>
      </c>
      <c r="B206" s="366" t="s">
        <v>237</v>
      </c>
      <c r="C206" s="369"/>
      <c r="D206" s="368">
        <v>160481</v>
      </c>
      <c r="E206" s="368">
        <v>12</v>
      </c>
      <c r="F206" s="464">
        <f t="shared" si="16"/>
        <v>48244</v>
      </c>
      <c r="G206" s="465">
        <f t="shared" si="17"/>
        <v>46862</v>
      </c>
      <c r="H206" s="466">
        <v>31503.913253012</v>
      </c>
      <c r="I206" s="476">
        <v>24428.063829787199</v>
      </c>
      <c r="J206" s="466"/>
      <c r="K206" s="467"/>
      <c r="L206" s="466">
        <v>16740.086746988</v>
      </c>
      <c r="M206" s="466"/>
      <c r="N206" s="466"/>
      <c r="O206" s="476">
        <v>22433.936170212801</v>
      </c>
      <c r="P206" s="467"/>
      <c r="Q206" s="467"/>
      <c r="R206" s="466"/>
      <c r="S206" s="467"/>
      <c r="T206" s="464">
        <f t="shared" si="18"/>
        <v>0</v>
      </c>
      <c r="U206" s="465">
        <f t="shared" si="19"/>
        <v>0</v>
      </c>
      <c r="V206" s="466"/>
      <c r="W206" s="467"/>
      <c r="X206" s="466"/>
      <c r="Y206" s="467"/>
      <c r="Z206" s="466"/>
      <c r="AA206" s="466"/>
      <c r="AB206" s="466"/>
      <c r="AC206" s="467"/>
      <c r="AD206" s="467"/>
      <c r="AE206" s="467"/>
      <c r="AF206" s="466"/>
      <c r="AG206" s="467"/>
    </row>
    <row r="207" spans="1:33">
      <c r="A207" s="368" t="s">
        <v>213</v>
      </c>
      <c r="B207" s="366" t="s">
        <v>238</v>
      </c>
      <c r="C207" s="367"/>
      <c r="D207" s="368">
        <v>160667</v>
      </c>
      <c r="E207" s="368">
        <v>12</v>
      </c>
      <c r="F207" s="464">
        <f t="shared" si="16"/>
        <v>68473</v>
      </c>
      <c r="G207" s="465">
        <f t="shared" si="17"/>
        <v>63782</v>
      </c>
      <c r="H207" s="466">
        <v>52778.767286767303</v>
      </c>
      <c r="I207" s="476">
        <v>46952.656795747898</v>
      </c>
      <c r="J207" s="466"/>
      <c r="K207" s="467"/>
      <c r="L207" s="466">
        <v>15694.232713232699</v>
      </c>
      <c r="M207" s="466"/>
      <c r="N207" s="466"/>
      <c r="O207" s="476">
        <v>16829.343204252102</v>
      </c>
      <c r="P207" s="467"/>
      <c r="Q207" s="467"/>
      <c r="R207" s="466"/>
      <c r="S207" s="467"/>
      <c r="T207" s="464">
        <f t="shared" si="18"/>
        <v>0</v>
      </c>
      <c r="U207" s="465">
        <f t="shared" si="19"/>
        <v>0</v>
      </c>
      <c r="V207" s="466"/>
      <c r="W207" s="467"/>
      <c r="X207" s="466"/>
      <c r="Y207" s="467"/>
      <c r="Z207" s="466"/>
      <c r="AA207" s="466"/>
      <c r="AB207" s="466"/>
      <c r="AC207" s="467"/>
      <c r="AD207" s="467"/>
      <c r="AE207" s="467"/>
      <c r="AF207" s="466"/>
      <c r="AG207" s="467"/>
    </row>
    <row r="208" spans="1:33">
      <c r="A208" s="368" t="s">
        <v>213</v>
      </c>
      <c r="B208" s="366" t="s">
        <v>240</v>
      </c>
      <c r="C208" s="367"/>
      <c r="D208" s="368">
        <v>160579</v>
      </c>
      <c r="E208" s="368">
        <v>12</v>
      </c>
      <c r="F208" s="464">
        <f t="shared" si="16"/>
        <v>74465.5</v>
      </c>
      <c r="G208" s="465">
        <f t="shared" si="17"/>
        <v>68860</v>
      </c>
      <c r="H208" s="466">
        <v>61115.456926658902</v>
      </c>
      <c r="I208" s="476">
        <v>49743.892617449703</v>
      </c>
      <c r="J208" s="466"/>
      <c r="K208" s="467"/>
      <c r="L208" s="466">
        <v>13350.043073341099</v>
      </c>
      <c r="M208" s="466"/>
      <c r="N208" s="466"/>
      <c r="O208" s="476">
        <v>19116.107382550301</v>
      </c>
      <c r="P208" s="467"/>
      <c r="Q208" s="467"/>
      <c r="R208" s="466"/>
      <c r="S208" s="467"/>
      <c r="T208" s="464">
        <f t="shared" si="18"/>
        <v>0</v>
      </c>
      <c r="U208" s="465">
        <f t="shared" si="19"/>
        <v>0</v>
      </c>
      <c r="V208" s="466"/>
      <c r="W208" s="467"/>
      <c r="X208" s="466"/>
      <c r="Y208" s="467"/>
      <c r="Z208" s="466"/>
      <c r="AA208" s="466"/>
      <c r="AB208" s="466"/>
      <c r="AC208" s="467"/>
      <c r="AD208" s="467"/>
      <c r="AE208" s="467"/>
      <c r="AF208" s="466"/>
      <c r="AG208" s="467"/>
    </row>
    <row r="209" spans="1:34">
      <c r="A209" s="368" t="s">
        <v>213</v>
      </c>
      <c r="B209" s="366" t="s">
        <v>239</v>
      </c>
      <c r="C209" s="367"/>
      <c r="D209" s="368">
        <v>160010</v>
      </c>
      <c r="E209" s="368">
        <v>13</v>
      </c>
      <c r="F209" s="464">
        <f t="shared" si="16"/>
        <v>24617.999999999996</v>
      </c>
      <c r="G209" s="465">
        <f t="shared" si="17"/>
        <v>22823</v>
      </c>
      <c r="H209" s="466">
        <v>24468.497975708498</v>
      </c>
      <c r="I209" s="476">
        <v>20858.1059602649</v>
      </c>
      <c r="J209" s="466"/>
      <c r="K209" s="467"/>
      <c r="L209" s="466">
        <v>149.502024291498</v>
      </c>
      <c r="M209" s="466"/>
      <c r="N209" s="466"/>
      <c r="O209" s="476">
        <v>1964.8940397351</v>
      </c>
      <c r="P209" s="467"/>
      <c r="Q209" s="467"/>
      <c r="R209" s="466"/>
      <c r="S209" s="467"/>
      <c r="T209" s="464">
        <f t="shared" si="18"/>
        <v>0</v>
      </c>
      <c r="U209" s="465">
        <f t="shared" si="19"/>
        <v>0</v>
      </c>
      <c r="V209" s="466"/>
      <c r="W209" s="467"/>
      <c r="X209" s="466"/>
      <c r="Y209" s="467"/>
      <c r="Z209" s="466"/>
      <c r="AA209" s="466"/>
      <c r="AB209" s="466"/>
      <c r="AC209" s="467"/>
      <c r="AD209" s="467"/>
      <c r="AE209" s="467"/>
      <c r="AF209" s="466"/>
      <c r="AG209" s="467"/>
    </row>
    <row r="210" spans="1:34">
      <c r="A210" s="368" t="s">
        <v>213</v>
      </c>
      <c r="B210" s="366" t="s">
        <v>241</v>
      </c>
      <c r="C210" s="367"/>
      <c r="D210" s="368">
        <v>159373</v>
      </c>
      <c r="E210" s="368">
        <v>15</v>
      </c>
      <c r="F210" s="464">
        <f t="shared" si="16"/>
        <v>0</v>
      </c>
      <c r="G210" s="465">
        <f t="shared" si="17"/>
        <v>0</v>
      </c>
      <c r="H210" s="466"/>
      <c r="I210" s="467"/>
      <c r="J210" s="466"/>
      <c r="K210" s="467"/>
      <c r="L210" s="466"/>
      <c r="M210" s="466"/>
      <c r="N210" s="466"/>
      <c r="O210" s="467"/>
      <c r="P210" s="467"/>
      <c r="Q210" s="467"/>
      <c r="R210" s="466"/>
      <c r="S210" s="467"/>
      <c r="T210" s="464">
        <f t="shared" si="18"/>
        <v>0</v>
      </c>
      <c r="U210" s="465">
        <f t="shared" si="19"/>
        <v>0</v>
      </c>
      <c r="V210" s="466"/>
      <c r="W210" s="467"/>
      <c r="X210" s="466"/>
      <c r="Y210" s="467"/>
      <c r="Z210" s="466"/>
      <c r="AA210" s="466"/>
      <c r="AB210" s="466"/>
      <c r="AC210" s="467"/>
      <c r="AD210" s="467"/>
      <c r="AE210" s="467"/>
      <c r="AF210" s="466"/>
      <c r="AG210" s="467"/>
    </row>
    <row r="211" spans="1:34">
      <c r="A211" s="368" t="s">
        <v>213</v>
      </c>
      <c r="B211" s="366" t="s">
        <v>242</v>
      </c>
      <c r="C211" s="367"/>
      <c r="D211" s="368">
        <v>435000</v>
      </c>
      <c r="E211" s="368">
        <v>15</v>
      </c>
      <c r="F211" s="464">
        <f t="shared" si="16"/>
        <v>0</v>
      </c>
      <c r="G211" s="465">
        <f t="shared" si="17"/>
        <v>0</v>
      </c>
      <c r="H211" s="466"/>
      <c r="I211" s="467"/>
      <c r="J211" s="466"/>
      <c r="K211" s="467"/>
      <c r="L211" s="466"/>
      <c r="M211" s="466"/>
      <c r="N211" s="466"/>
      <c r="O211" s="467"/>
      <c r="P211" s="467"/>
      <c r="Q211" s="467"/>
      <c r="R211" s="466"/>
      <c r="S211" s="467"/>
      <c r="T211" s="464">
        <f t="shared" si="18"/>
        <v>0</v>
      </c>
      <c r="U211" s="465">
        <f t="shared" si="19"/>
        <v>0</v>
      </c>
      <c r="V211" s="466"/>
      <c r="W211" s="467"/>
      <c r="X211" s="466"/>
      <c r="Y211" s="467"/>
      <c r="Z211" s="466"/>
      <c r="AA211" s="466"/>
      <c r="AB211" s="466"/>
      <c r="AC211" s="467"/>
      <c r="AD211" s="467"/>
      <c r="AE211" s="467"/>
      <c r="AF211" s="466"/>
      <c r="AG211" s="467"/>
    </row>
    <row r="212" spans="1:34">
      <c r="A212" s="368" t="s">
        <v>213</v>
      </c>
      <c r="B212" s="370" t="s">
        <v>729</v>
      </c>
      <c r="C212" s="367"/>
      <c r="D212" s="371">
        <v>440916</v>
      </c>
      <c r="E212" s="368">
        <v>15</v>
      </c>
      <c r="F212" s="464">
        <f t="shared" si="16"/>
        <v>0</v>
      </c>
      <c r="G212" s="465">
        <f t="shared" si="17"/>
        <v>0</v>
      </c>
      <c r="H212" s="466"/>
      <c r="I212" s="467"/>
      <c r="J212" s="466"/>
      <c r="K212" s="467"/>
      <c r="L212" s="466"/>
      <c r="M212" s="466"/>
      <c r="N212" s="466"/>
      <c r="O212" s="467"/>
      <c r="P212" s="467"/>
      <c r="Q212" s="467"/>
      <c r="R212" s="466"/>
      <c r="S212" s="467"/>
      <c r="T212" s="464">
        <f t="shared" si="18"/>
        <v>17788</v>
      </c>
      <c r="U212" s="465">
        <f t="shared" si="19"/>
        <v>21220.000000000051</v>
      </c>
      <c r="V212" s="466">
        <v>16339</v>
      </c>
      <c r="W212" s="477">
        <v>19723.153526971</v>
      </c>
      <c r="X212" s="466"/>
      <c r="Y212" s="467"/>
      <c r="Z212" s="466">
        <v>1449</v>
      </c>
      <c r="AA212" s="466"/>
      <c r="AB212" s="466"/>
      <c r="AC212" s="476">
        <v>1496.84647302905</v>
      </c>
      <c r="AD212" s="467"/>
      <c r="AE212" s="467"/>
      <c r="AF212" s="466"/>
      <c r="AG212" s="467"/>
    </row>
    <row r="213" spans="1:34" s="14" customFormat="1" ht="12.75" customHeight="1">
      <c r="A213" s="346" t="s">
        <v>243</v>
      </c>
      <c r="B213" s="347" t="s">
        <v>260</v>
      </c>
      <c r="C213" s="349"/>
      <c r="D213" s="346">
        <v>161688</v>
      </c>
      <c r="E213" s="346">
        <v>10</v>
      </c>
      <c r="F213" s="464">
        <f t="shared" si="16"/>
        <v>47735</v>
      </c>
      <c r="G213" s="465">
        <f t="shared" si="17"/>
        <v>46937</v>
      </c>
      <c r="H213" s="466">
        <v>28330</v>
      </c>
      <c r="I213" s="467">
        <v>19375</v>
      </c>
      <c r="J213" s="466">
        <v>8752</v>
      </c>
      <c r="K213" s="467">
        <v>5910</v>
      </c>
      <c r="L213" s="466">
        <v>9725</v>
      </c>
      <c r="M213" s="466">
        <v>928</v>
      </c>
      <c r="N213" s="466">
        <v>0</v>
      </c>
      <c r="O213" s="467">
        <v>20874</v>
      </c>
      <c r="P213" s="467">
        <v>778</v>
      </c>
      <c r="Q213" s="467">
        <v>0</v>
      </c>
      <c r="R213" s="466">
        <v>0</v>
      </c>
      <c r="S213" s="467">
        <v>0</v>
      </c>
      <c r="T213" s="464">
        <f t="shared" si="18"/>
        <v>0</v>
      </c>
      <c r="U213" s="465">
        <f t="shared" si="19"/>
        <v>0</v>
      </c>
      <c r="V213" s="466">
        <v>0</v>
      </c>
      <c r="W213" s="467">
        <v>0</v>
      </c>
      <c r="X213" s="466">
        <v>0</v>
      </c>
      <c r="Y213" s="467">
        <v>0</v>
      </c>
      <c r="Z213" s="466">
        <v>0</v>
      </c>
      <c r="AA213" s="466">
        <v>0</v>
      </c>
      <c r="AB213" s="466">
        <v>0</v>
      </c>
      <c r="AC213" s="467">
        <v>0</v>
      </c>
      <c r="AD213" s="467">
        <v>0</v>
      </c>
      <c r="AE213" s="467">
        <v>0</v>
      </c>
      <c r="AF213" s="466"/>
      <c r="AG213" s="467">
        <v>0</v>
      </c>
    </row>
    <row r="214" spans="1:34" s="14" customFormat="1" ht="15" customHeight="1">
      <c r="A214" s="346" t="s">
        <v>243</v>
      </c>
      <c r="B214" s="347" t="s">
        <v>254</v>
      </c>
      <c r="C214" s="348"/>
      <c r="D214" s="346">
        <v>161767</v>
      </c>
      <c r="E214" s="346">
        <v>8</v>
      </c>
      <c r="F214" s="464">
        <f t="shared" si="16"/>
        <v>227134</v>
      </c>
      <c r="G214" s="465">
        <f t="shared" si="17"/>
        <v>222168</v>
      </c>
      <c r="H214" s="466">
        <v>141718</v>
      </c>
      <c r="I214" s="467">
        <v>55230</v>
      </c>
      <c r="J214" s="466">
        <v>5819</v>
      </c>
      <c r="K214" s="467">
        <v>10000</v>
      </c>
      <c r="L214" s="466">
        <v>79315</v>
      </c>
      <c r="M214" s="466">
        <v>282</v>
      </c>
      <c r="N214" s="466">
        <v>0</v>
      </c>
      <c r="O214" s="467">
        <v>156529</v>
      </c>
      <c r="P214" s="467">
        <v>409</v>
      </c>
      <c r="Q214" s="467">
        <v>0</v>
      </c>
      <c r="R214" s="466">
        <v>0</v>
      </c>
      <c r="S214" s="467">
        <v>0</v>
      </c>
      <c r="T214" s="464">
        <f t="shared" si="18"/>
        <v>0</v>
      </c>
      <c r="U214" s="465">
        <f t="shared" si="19"/>
        <v>0</v>
      </c>
      <c r="V214" s="466">
        <v>0</v>
      </c>
      <c r="W214" s="467">
        <v>0</v>
      </c>
      <c r="X214" s="466">
        <v>0</v>
      </c>
      <c r="Y214" s="467">
        <v>0</v>
      </c>
      <c r="Z214" s="466">
        <v>0</v>
      </c>
      <c r="AA214" s="466">
        <v>0</v>
      </c>
      <c r="AB214" s="466">
        <v>0</v>
      </c>
      <c r="AC214" s="467">
        <v>0</v>
      </c>
      <c r="AD214" s="467">
        <v>0</v>
      </c>
      <c r="AE214" s="467">
        <v>0</v>
      </c>
      <c r="AF214" s="466"/>
      <c r="AG214" s="467">
        <v>0</v>
      </c>
    </row>
    <row r="215" spans="1:34">
      <c r="A215" s="346" t="s">
        <v>243</v>
      </c>
      <c r="B215" s="347" t="s">
        <v>261</v>
      </c>
      <c r="C215" s="348"/>
      <c r="D215" s="346">
        <v>161864</v>
      </c>
      <c r="E215" s="346">
        <v>9</v>
      </c>
      <c r="F215" s="464">
        <f t="shared" si="16"/>
        <v>85287</v>
      </c>
      <c r="G215" s="465">
        <f t="shared" si="17"/>
        <v>82002</v>
      </c>
      <c r="H215" s="466">
        <v>62780</v>
      </c>
      <c r="I215" s="467">
        <v>27075</v>
      </c>
      <c r="J215" s="466">
        <v>1687</v>
      </c>
      <c r="K215" s="467">
        <v>139</v>
      </c>
      <c r="L215" s="466">
        <v>20820</v>
      </c>
      <c r="M215" s="466">
        <v>0</v>
      </c>
      <c r="N215" s="466">
        <v>0</v>
      </c>
      <c r="O215" s="467">
        <v>54788</v>
      </c>
      <c r="P215" s="467">
        <v>0</v>
      </c>
      <c r="Q215" s="467">
        <v>0</v>
      </c>
      <c r="R215" s="466">
        <v>0</v>
      </c>
      <c r="S215" s="467">
        <v>0</v>
      </c>
      <c r="T215" s="464">
        <f t="shared" si="18"/>
        <v>0</v>
      </c>
      <c r="U215" s="465">
        <f t="shared" si="19"/>
        <v>0</v>
      </c>
      <c r="V215" s="466">
        <v>0</v>
      </c>
      <c r="W215" s="467">
        <v>0</v>
      </c>
      <c r="X215" s="466">
        <v>0</v>
      </c>
      <c r="Y215" s="467">
        <v>0</v>
      </c>
      <c r="Z215" s="466">
        <v>0</v>
      </c>
      <c r="AA215" s="466">
        <v>0</v>
      </c>
      <c r="AB215" s="466">
        <v>0</v>
      </c>
      <c r="AC215" s="467">
        <v>0</v>
      </c>
      <c r="AD215" s="467">
        <v>0</v>
      </c>
      <c r="AE215" s="467">
        <v>0</v>
      </c>
      <c r="AF215" s="466"/>
      <c r="AG215" s="467">
        <v>0</v>
      </c>
    </row>
    <row r="216" spans="1:34">
      <c r="A216" s="346" t="s">
        <v>243</v>
      </c>
      <c r="B216" s="347" t="s">
        <v>262</v>
      </c>
      <c r="C216" s="348" t="s">
        <v>730</v>
      </c>
      <c r="D216" s="346">
        <v>405872</v>
      </c>
      <c r="E216" s="346">
        <v>9</v>
      </c>
      <c r="F216" s="464">
        <f t="shared" si="16"/>
        <v>56032.5</v>
      </c>
      <c r="G216" s="465">
        <f t="shared" si="17"/>
        <v>53193</v>
      </c>
      <c r="H216" s="466">
        <v>41286.5</v>
      </c>
      <c r="I216" s="467">
        <v>19521.5</v>
      </c>
      <c r="J216" s="466">
        <v>1730</v>
      </c>
      <c r="K216" s="467">
        <v>1894</v>
      </c>
      <c r="L216" s="466">
        <v>13016</v>
      </c>
      <c r="M216" s="466">
        <v>0</v>
      </c>
      <c r="N216" s="466">
        <v>0</v>
      </c>
      <c r="O216" s="467">
        <v>31777.5</v>
      </c>
      <c r="P216" s="467">
        <v>0</v>
      </c>
      <c r="Q216" s="467">
        <v>0</v>
      </c>
      <c r="R216" s="466">
        <v>0</v>
      </c>
      <c r="S216" s="467">
        <v>0</v>
      </c>
      <c r="T216" s="464">
        <f t="shared" si="18"/>
        <v>0</v>
      </c>
      <c r="U216" s="465">
        <f t="shared" si="19"/>
        <v>0</v>
      </c>
      <c r="V216" s="466">
        <v>0</v>
      </c>
      <c r="W216" s="467">
        <v>0</v>
      </c>
      <c r="X216" s="466">
        <v>0</v>
      </c>
      <c r="Y216" s="467">
        <v>0</v>
      </c>
      <c r="Z216" s="466">
        <v>0</v>
      </c>
      <c r="AA216" s="466">
        <v>0</v>
      </c>
      <c r="AB216" s="466">
        <v>0</v>
      </c>
      <c r="AC216" s="467">
        <v>0</v>
      </c>
      <c r="AD216" s="467">
        <v>0</v>
      </c>
      <c r="AE216" s="467">
        <v>0</v>
      </c>
      <c r="AF216" s="466"/>
      <c r="AG216" s="467">
        <v>0</v>
      </c>
      <c r="AH216" s="15">
        <f t="shared" ref="AH216:AH241" si="20">AG216+AE216+AD216+AC216+Y216+W216</f>
        <v>0</v>
      </c>
    </row>
    <row r="217" spans="1:34" s="14" customFormat="1" ht="12.75" customHeight="1">
      <c r="A217" s="346" t="s">
        <v>243</v>
      </c>
      <c r="B217" s="347" t="s">
        <v>267</v>
      </c>
      <c r="C217" s="348"/>
      <c r="D217" s="346">
        <v>162104</v>
      </c>
      <c r="E217" s="346">
        <v>10</v>
      </c>
      <c r="F217" s="464">
        <f t="shared" si="16"/>
        <v>40934</v>
      </c>
      <c r="G217" s="465">
        <f t="shared" si="17"/>
        <v>37736</v>
      </c>
      <c r="H217" s="466">
        <v>26765</v>
      </c>
      <c r="I217" s="467">
        <v>22653</v>
      </c>
      <c r="J217" s="466">
        <v>2655</v>
      </c>
      <c r="K217" s="467">
        <v>1342</v>
      </c>
      <c r="L217" s="466">
        <v>11514</v>
      </c>
      <c r="M217" s="466">
        <v>0</v>
      </c>
      <c r="N217" s="466">
        <v>0</v>
      </c>
      <c r="O217" s="467">
        <v>13741</v>
      </c>
      <c r="P217" s="467">
        <v>0</v>
      </c>
      <c r="Q217" s="467">
        <v>0</v>
      </c>
      <c r="R217" s="466">
        <v>0</v>
      </c>
      <c r="S217" s="467">
        <v>0</v>
      </c>
      <c r="T217" s="464">
        <f t="shared" si="18"/>
        <v>0</v>
      </c>
      <c r="U217" s="465">
        <f t="shared" si="19"/>
        <v>0</v>
      </c>
      <c r="V217" s="466">
        <v>0</v>
      </c>
      <c r="W217" s="467">
        <v>0</v>
      </c>
      <c r="X217" s="466">
        <v>0</v>
      </c>
      <c r="Y217" s="467">
        <v>0</v>
      </c>
      <c r="Z217" s="466">
        <v>0</v>
      </c>
      <c r="AA217" s="466">
        <v>0</v>
      </c>
      <c r="AB217" s="466">
        <v>0</v>
      </c>
      <c r="AC217" s="467">
        <v>0</v>
      </c>
      <c r="AD217" s="467">
        <v>0</v>
      </c>
      <c r="AE217" s="467">
        <v>0</v>
      </c>
      <c r="AF217" s="466"/>
      <c r="AG217" s="467">
        <v>0</v>
      </c>
      <c r="AH217" s="15">
        <f t="shared" si="20"/>
        <v>0</v>
      </c>
    </row>
    <row r="218" spans="1:34">
      <c r="A218" s="346" t="s">
        <v>243</v>
      </c>
      <c r="B218" s="347" t="s">
        <v>268</v>
      </c>
      <c r="C218" s="349"/>
      <c r="D218" s="346">
        <v>162168</v>
      </c>
      <c r="E218" s="346">
        <v>10</v>
      </c>
      <c r="F218" s="464">
        <f t="shared" si="16"/>
        <v>35541</v>
      </c>
      <c r="G218" s="465">
        <f t="shared" si="17"/>
        <v>33315</v>
      </c>
      <c r="H218" s="466">
        <v>19566</v>
      </c>
      <c r="I218" s="467">
        <v>9964</v>
      </c>
      <c r="J218" s="466">
        <v>3792</v>
      </c>
      <c r="K218" s="467">
        <v>709</v>
      </c>
      <c r="L218" s="466">
        <v>11867</v>
      </c>
      <c r="M218" s="466">
        <v>316</v>
      </c>
      <c r="N218" s="466">
        <v>0</v>
      </c>
      <c r="O218" s="467">
        <v>22579</v>
      </c>
      <c r="P218" s="467">
        <v>63</v>
      </c>
      <c r="Q218" s="467">
        <v>0</v>
      </c>
      <c r="R218" s="466">
        <v>0</v>
      </c>
      <c r="S218" s="467">
        <v>0</v>
      </c>
      <c r="T218" s="464">
        <f t="shared" si="18"/>
        <v>0</v>
      </c>
      <c r="U218" s="465">
        <f t="shared" si="19"/>
        <v>0</v>
      </c>
      <c r="V218" s="466">
        <v>0</v>
      </c>
      <c r="W218" s="467">
        <v>0</v>
      </c>
      <c r="X218" s="466">
        <v>0</v>
      </c>
      <c r="Y218" s="467">
        <v>0</v>
      </c>
      <c r="Z218" s="466">
        <v>0</v>
      </c>
      <c r="AA218" s="466">
        <v>0</v>
      </c>
      <c r="AB218" s="466">
        <v>0</v>
      </c>
      <c r="AC218" s="467">
        <v>0</v>
      </c>
      <c r="AD218" s="467">
        <v>0</v>
      </c>
      <c r="AE218" s="467">
        <v>0</v>
      </c>
      <c r="AF218" s="466"/>
      <c r="AG218" s="467">
        <v>0</v>
      </c>
      <c r="AH218" s="15">
        <f t="shared" si="20"/>
        <v>0</v>
      </c>
    </row>
    <row r="219" spans="1:34" s="14" customFormat="1" ht="12.75" customHeight="1">
      <c r="A219" s="423" t="s">
        <v>243</v>
      </c>
      <c r="B219" s="347" t="s">
        <v>255</v>
      </c>
      <c r="C219" s="348" t="s">
        <v>728</v>
      </c>
      <c r="D219" s="346">
        <v>162122</v>
      </c>
      <c r="E219" s="434">
        <v>9</v>
      </c>
      <c r="F219" s="464">
        <f t="shared" si="16"/>
        <v>123381</v>
      </c>
      <c r="G219" s="465">
        <f t="shared" si="17"/>
        <v>124845</v>
      </c>
      <c r="H219" s="466">
        <v>68070</v>
      </c>
      <c r="I219" s="467">
        <v>25740</v>
      </c>
      <c r="J219" s="466">
        <v>5797</v>
      </c>
      <c r="K219" s="467">
        <v>10527</v>
      </c>
      <c r="L219" s="466">
        <v>48717</v>
      </c>
      <c r="M219" s="466">
        <v>797</v>
      </c>
      <c r="N219" s="466">
        <v>0</v>
      </c>
      <c r="O219" s="467">
        <v>62985</v>
      </c>
      <c r="P219" s="467">
        <v>25593</v>
      </c>
      <c r="Q219" s="467">
        <v>0</v>
      </c>
      <c r="R219" s="466">
        <v>0</v>
      </c>
      <c r="S219" s="467">
        <v>0</v>
      </c>
      <c r="T219" s="464">
        <f t="shared" si="18"/>
        <v>0</v>
      </c>
      <c r="U219" s="465">
        <f t="shared" si="19"/>
        <v>0</v>
      </c>
      <c r="V219" s="466">
        <v>0</v>
      </c>
      <c r="W219" s="467">
        <v>0</v>
      </c>
      <c r="X219" s="466">
        <v>0</v>
      </c>
      <c r="Y219" s="467">
        <v>0</v>
      </c>
      <c r="Z219" s="466">
        <v>0</v>
      </c>
      <c r="AA219" s="466">
        <v>0</v>
      </c>
      <c r="AB219" s="466">
        <v>0</v>
      </c>
      <c r="AC219" s="467">
        <v>0</v>
      </c>
      <c r="AD219" s="467">
        <v>0</v>
      </c>
      <c r="AE219" s="467">
        <v>0</v>
      </c>
      <c r="AF219" s="466"/>
      <c r="AG219" s="467">
        <v>0</v>
      </c>
      <c r="AH219" s="15">
        <f t="shared" si="20"/>
        <v>0</v>
      </c>
    </row>
    <row r="220" spans="1:34">
      <c r="A220" s="346" t="s">
        <v>243</v>
      </c>
      <c r="B220" s="347" t="s">
        <v>256</v>
      </c>
      <c r="C220" s="348"/>
      <c r="D220" s="346">
        <v>434672</v>
      </c>
      <c r="E220" s="346">
        <v>8</v>
      </c>
      <c r="F220" s="464">
        <f t="shared" si="16"/>
        <v>318652</v>
      </c>
      <c r="G220" s="465">
        <f t="shared" si="17"/>
        <v>313344.5</v>
      </c>
      <c r="H220" s="466">
        <v>205188</v>
      </c>
      <c r="I220" s="467">
        <v>102323.5</v>
      </c>
      <c r="J220" s="466">
        <v>35663</v>
      </c>
      <c r="K220" s="467">
        <v>21649</v>
      </c>
      <c r="L220" s="466">
        <v>77801</v>
      </c>
      <c r="M220" s="466">
        <v>0</v>
      </c>
      <c r="N220" s="466">
        <v>0</v>
      </c>
      <c r="O220" s="467">
        <v>189372</v>
      </c>
      <c r="P220" s="467">
        <v>0</v>
      </c>
      <c r="Q220" s="467">
        <v>0</v>
      </c>
      <c r="R220" s="466">
        <v>0</v>
      </c>
      <c r="S220" s="467">
        <v>0</v>
      </c>
      <c r="T220" s="464">
        <f t="shared" si="18"/>
        <v>0</v>
      </c>
      <c r="U220" s="465">
        <f t="shared" si="19"/>
        <v>0</v>
      </c>
      <c r="V220" s="466">
        <v>0</v>
      </c>
      <c r="W220" s="467">
        <v>0</v>
      </c>
      <c r="X220" s="466">
        <v>0</v>
      </c>
      <c r="Y220" s="467">
        <v>0</v>
      </c>
      <c r="Z220" s="466">
        <v>0</v>
      </c>
      <c r="AA220" s="466">
        <v>0</v>
      </c>
      <c r="AB220" s="466">
        <v>0</v>
      </c>
      <c r="AC220" s="467">
        <v>0</v>
      </c>
      <c r="AD220" s="467">
        <v>0</v>
      </c>
      <c r="AE220" s="467">
        <v>0</v>
      </c>
      <c r="AF220" s="466"/>
      <c r="AG220" s="467">
        <v>0</v>
      </c>
      <c r="AH220" s="15">
        <f t="shared" si="20"/>
        <v>0</v>
      </c>
    </row>
    <row r="221" spans="1:34">
      <c r="A221" s="346" t="s">
        <v>243</v>
      </c>
      <c r="B221" s="347" t="s">
        <v>263</v>
      </c>
      <c r="C221" s="348"/>
      <c r="D221" s="346">
        <v>162557</v>
      </c>
      <c r="E221" s="346">
        <v>9</v>
      </c>
      <c r="F221" s="464">
        <f t="shared" si="16"/>
        <v>107486</v>
      </c>
      <c r="G221" s="465">
        <f t="shared" si="17"/>
        <v>102774</v>
      </c>
      <c r="H221" s="466">
        <v>71066</v>
      </c>
      <c r="I221" s="467">
        <v>54841</v>
      </c>
      <c r="J221" s="466">
        <v>10053</v>
      </c>
      <c r="K221" s="467">
        <v>10433</v>
      </c>
      <c r="L221" s="466">
        <v>26367</v>
      </c>
      <c r="M221" s="466">
        <v>0</v>
      </c>
      <c r="N221" s="466">
        <v>0</v>
      </c>
      <c r="O221" s="467">
        <v>37500</v>
      </c>
      <c r="P221" s="467">
        <v>0</v>
      </c>
      <c r="Q221" s="467">
        <v>0</v>
      </c>
      <c r="R221" s="466">
        <v>0</v>
      </c>
      <c r="S221" s="467">
        <v>0</v>
      </c>
      <c r="T221" s="464">
        <f t="shared" si="18"/>
        <v>0</v>
      </c>
      <c r="U221" s="465">
        <f t="shared" si="19"/>
        <v>0</v>
      </c>
      <c r="V221" s="466">
        <v>0</v>
      </c>
      <c r="W221" s="467">
        <v>0</v>
      </c>
      <c r="X221" s="466">
        <v>0</v>
      </c>
      <c r="Y221" s="467">
        <v>0</v>
      </c>
      <c r="Z221" s="466">
        <v>0</v>
      </c>
      <c r="AA221" s="466">
        <v>0</v>
      </c>
      <c r="AB221" s="466">
        <v>0</v>
      </c>
      <c r="AC221" s="467">
        <v>0</v>
      </c>
      <c r="AD221" s="467">
        <v>0</v>
      </c>
      <c r="AE221" s="467">
        <v>0</v>
      </c>
      <c r="AF221" s="466"/>
      <c r="AG221" s="467">
        <v>0</v>
      </c>
      <c r="AH221" s="15">
        <f t="shared" si="20"/>
        <v>0</v>
      </c>
    </row>
    <row r="222" spans="1:34" s="14" customFormat="1" ht="12.75" customHeight="1">
      <c r="A222" s="346" t="s">
        <v>243</v>
      </c>
      <c r="B222" s="347" t="s">
        <v>269</v>
      </c>
      <c r="C222" s="348"/>
      <c r="D222" s="346">
        <v>162609</v>
      </c>
      <c r="E222" s="346">
        <v>10</v>
      </c>
      <c r="F222" s="464">
        <f t="shared" si="16"/>
        <v>14046</v>
      </c>
      <c r="G222" s="465">
        <f t="shared" si="17"/>
        <v>13504.25</v>
      </c>
      <c r="H222" s="466">
        <v>9371</v>
      </c>
      <c r="I222" s="467">
        <v>6927.25</v>
      </c>
      <c r="J222" s="466">
        <v>1134</v>
      </c>
      <c r="K222" s="467">
        <v>715</v>
      </c>
      <c r="L222" s="466">
        <v>3541</v>
      </c>
      <c r="M222" s="466">
        <v>0</v>
      </c>
      <c r="N222" s="466">
        <v>0</v>
      </c>
      <c r="O222" s="467">
        <v>5862</v>
      </c>
      <c r="P222" s="467">
        <v>0</v>
      </c>
      <c r="Q222" s="467">
        <v>0</v>
      </c>
      <c r="R222" s="466">
        <v>0</v>
      </c>
      <c r="S222" s="467">
        <v>0</v>
      </c>
      <c r="T222" s="464">
        <f t="shared" si="18"/>
        <v>0</v>
      </c>
      <c r="U222" s="465">
        <f t="shared" si="19"/>
        <v>0</v>
      </c>
      <c r="V222" s="466">
        <v>0</v>
      </c>
      <c r="W222" s="467">
        <v>0</v>
      </c>
      <c r="X222" s="466">
        <v>0</v>
      </c>
      <c r="Y222" s="467">
        <v>0</v>
      </c>
      <c r="Z222" s="466">
        <v>0</v>
      </c>
      <c r="AA222" s="466">
        <v>0</v>
      </c>
      <c r="AB222" s="466">
        <v>0</v>
      </c>
      <c r="AC222" s="467">
        <v>0</v>
      </c>
      <c r="AD222" s="467">
        <v>0</v>
      </c>
      <c r="AE222" s="467">
        <v>0</v>
      </c>
      <c r="AF222" s="466"/>
      <c r="AG222" s="467">
        <v>0</v>
      </c>
      <c r="AH222" s="15">
        <f t="shared" si="20"/>
        <v>0</v>
      </c>
    </row>
    <row r="223" spans="1:34" s="14" customFormat="1" ht="12.75" customHeight="1">
      <c r="A223" s="346" t="s">
        <v>243</v>
      </c>
      <c r="B223" s="347" t="s">
        <v>264</v>
      </c>
      <c r="C223" s="348"/>
      <c r="D223" s="346">
        <v>162690</v>
      </c>
      <c r="E223" s="346">
        <v>9</v>
      </c>
      <c r="F223" s="464">
        <f t="shared" si="16"/>
        <v>71529</v>
      </c>
      <c r="G223" s="465">
        <f t="shared" si="17"/>
        <v>82570</v>
      </c>
      <c r="H223" s="466">
        <v>44096</v>
      </c>
      <c r="I223" s="467">
        <v>26859</v>
      </c>
      <c r="J223" s="466">
        <v>4429</v>
      </c>
      <c r="K223" s="467">
        <v>5103</v>
      </c>
      <c r="L223" s="466">
        <v>22977</v>
      </c>
      <c r="M223" s="466">
        <v>0</v>
      </c>
      <c r="N223" s="466">
        <v>0</v>
      </c>
      <c r="O223" s="467">
        <v>50608</v>
      </c>
      <c r="P223" s="467">
        <v>0</v>
      </c>
      <c r="Q223" s="467">
        <v>0</v>
      </c>
      <c r="R223" s="466">
        <v>27</v>
      </c>
      <c r="S223" s="467">
        <v>0</v>
      </c>
      <c r="T223" s="464">
        <f t="shared" si="18"/>
        <v>0</v>
      </c>
      <c r="U223" s="465">
        <f t="shared" si="19"/>
        <v>0</v>
      </c>
      <c r="V223" s="466">
        <v>0</v>
      </c>
      <c r="W223" s="467">
        <v>0</v>
      </c>
      <c r="X223" s="466">
        <v>0</v>
      </c>
      <c r="Y223" s="467">
        <v>0</v>
      </c>
      <c r="Z223" s="466">
        <v>0</v>
      </c>
      <c r="AA223" s="466">
        <v>0</v>
      </c>
      <c r="AB223" s="466">
        <v>0</v>
      </c>
      <c r="AC223" s="467">
        <v>0</v>
      </c>
      <c r="AD223" s="467">
        <v>0</v>
      </c>
      <c r="AE223" s="467">
        <v>0</v>
      </c>
      <c r="AF223" s="466"/>
      <c r="AG223" s="467">
        <v>0</v>
      </c>
      <c r="AH223" s="15">
        <f t="shared" si="20"/>
        <v>0</v>
      </c>
    </row>
    <row r="224" spans="1:34">
      <c r="A224" s="346" t="s">
        <v>243</v>
      </c>
      <c r="B224" s="347" t="s">
        <v>265</v>
      </c>
      <c r="C224" s="349"/>
      <c r="D224" s="346">
        <v>162706</v>
      </c>
      <c r="E224" s="346">
        <v>9</v>
      </c>
      <c r="F224" s="464">
        <f t="shared" si="16"/>
        <v>103258</v>
      </c>
      <c r="G224" s="465">
        <f t="shared" si="17"/>
        <v>99517.5</v>
      </c>
      <c r="H224" s="466">
        <v>66038</v>
      </c>
      <c r="I224" s="467">
        <v>45856.5</v>
      </c>
      <c r="J224" s="466">
        <v>1585</v>
      </c>
      <c r="K224" s="467">
        <v>1794</v>
      </c>
      <c r="L224" s="466">
        <v>35635</v>
      </c>
      <c r="M224" s="466">
        <v>0</v>
      </c>
      <c r="N224" s="466">
        <v>0</v>
      </c>
      <c r="O224" s="467">
        <v>51867</v>
      </c>
      <c r="P224" s="467">
        <v>0</v>
      </c>
      <c r="Q224" s="467">
        <v>0</v>
      </c>
      <c r="R224" s="466">
        <v>0</v>
      </c>
      <c r="S224" s="467">
        <v>0</v>
      </c>
      <c r="T224" s="464">
        <f t="shared" si="18"/>
        <v>0</v>
      </c>
      <c r="U224" s="465">
        <f t="shared" si="19"/>
        <v>0</v>
      </c>
      <c r="V224" s="466">
        <v>0</v>
      </c>
      <c r="W224" s="467">
        <v>0</v>
      </c>
      <c r="X224" s="466">
        <v>0</v>
      </c>
      <c r="Y224" s="467">
        <v>0</v>
      </c>
      <c r="Z224" s="466">
        <v>0</v>
      </c>
      <c r="AA224" s="466">
        <v>0</v>
      </c>
      <c r="AB224" s="466">
        <v>0</v>
      </c>
      <c r="AC224" s="467">
        <v>0</v>
      </c>
      <c r="AD224" s="467">
        <v>0</v>
      </c>
      <c r="AE224" s="467">
        <v>0</v>
      </c>
      <c r="AF224" s="466"/>
      <c r="AG224" s="467">
        <v>0</v>
      </c>
      <c r="AH224" s="15">
        <f t="shared" si="20"/>
        <v>0</v>
      </c>
    </row>
    <row r="225" spans="1:34">
      <c r="A225" s="346" t="s">
        <v>243</v>
      </c>
      <c r="B225" s="347" t="s">
        <v>257</v>
      </c>
      <c r="C225" s="348"/>
      <c r="D225" s="346">
        <v>162779</v>
      </c>
      <c r="E225" s="346">
        <v>8</v>
      </c>
      <c r="F225" s="464">
        <f t="shared" si="16"/>
        <v>174934</v>
      </c>
      <c r="G225" s="465">
        <f t="shared" si="17"/>
        <v>175856</v>
      </c>
      <c r="H225" s="466">
        <v>134487</v>
      </c>
      <c r="I225" s="467">
        <v>52364</v>
      </c>
      <c r="J225" s="466">
        <v>10067</v>
      </c>
      <c r="K225" s="467">
        <v>27303</v>
      </c>
      <c r="L225" s="466">
        <v>30380</v>
      </c>
      <c r="M225" s="466">
        <v>0</v>
      </c>
      <c r="N225" s="466">
        <v>0</v>
      </c>
      <c r="O225" s="467">
        <v>79860</v>
      </c>
      <c r="P225" s="467">
        <v>16329</v>
      </c>
      <c r="Q225" s="467">
        <v>0</v>
      </c>
      <c r="R225" s="466">
        <v>0</v>
      </c>
      <c r="S225" s="467">
        <v>0</v>
      </c>
      <c r="T225" s="464">
        <f t="shared" si="18"/>
        <v>0</v>
      </c>
      <c r="U225" s="465">
        <f t="shared" si="19"/>
        <v>0</v>
      </c>
      <c r="V225" s="466">
        <v>0</v>
      </c>
      <c r="W225" s="467">
        <v>0</v>
      </c>
      <c r="X225" s="466">
        <v>0</v>
      </c>
      <c r="Y225" s="467">
        <v>0</v>
      </c>
      <c r="Z225" s="466">
        <v>0</v>
      </c>
      <c r="AA225" s="466">
        <v>0</v>
      </c>
      <c r="AB225" s="466">
        <v>0</v>
      </c>
      <c r="AC225" s="467">
        <v>0</v>
      </c>
      <c r="AD225" s="467">
        <v>0</v>
      </c>
      <c r="AE225" s="467">
        <v>0</v>
      </c>
      <c r="AF225" s="466"/>
      <c r="AG225" s="467">
        <v>0</v>
      </c>
      <c r="AH225" s="15">
        <f t="shared" si="20"/>
        <v>0</v>
      </c>
    </row>
    <row r="226" spans="1:34">
      <c r="A226" s="346" t="s">
        <v>243</v>
      </c>
      <c r="B226" s="347" t="s">
        <v>258</v>
      </c>
      <c r="C226" s="348"/>
      <c r="D226" s="346">
        <v>163426</v>
      </c>
      <c r="E226" s="346">
        <v>8</v>
      </c>
      <c r="F226" s="464">
        <f t="shared" si="16"/>
        <v>651205.40999999992</v>
      </c>
      <c r="G226" s="465">
        <f t="shared" si="17"/>
        <v>641620</v>
      </c>
      <c r="H226" s="466">
        <v>474125.6</v>
      </c>
      <c r="I226" s="467">
        <v>183192</v>
      </c>
      <c r="J226" s="466">
        <v>92989.11</v>
      </c>
      <c r="K226" s="467">
        <v>64244</v>
      </c>
      <c r="L226" s="466">
        <v>84090.7</v>
      </c>
      <c r="M226" s="466">
        <v>0</v>
      </c>
      <c r="N226" s="466">
        <v>0</v>
      </c>
      <c r="O226" s="467">
        <v>394184</v>
      </c>
      <c r="P226" s="467">
        <v>0</v>
      </c>
      <c r="Q226" s="467">
        <v>0</v>
      </c>
      <c r="R226" s="466">
        <v>0</v>
      </c>
      <c r="S226" s="467">
        <v>0</v>
      </c>
      <c r="T226" s="464">
        <f t="shared" si="18"/>
        <v>0</v>
      </c>
      <c r="U226" s="465">
        <f t="shared" si="19"/>
        <v>0</v>
      </c>
      <c r="V226" s="466">
        <v>0</v>
      </c>
      <c r="W226" s="467">
        <v>0</v>
      </c>
      <c r="X226" s="466">
        <v>0</v>
      </c>
      <c r="Y226" s="467">
        <v>0</v>
      </c>
      <c r="Z226" s="466">
        <v>0</v>
      </c>
      <c r="AA226" s="466">
        <v>0</v>
      </c>
      <c r="AB226" s="466">
        <v>0</v>
      </c>
      <c r="AC226" s="467">
        <v>0</v>
      </c>
      <c r="AD226" s="467">
        <v>0</v>
      </c>
      <c r="AE226" s="467">
        <v>0</v>
      </c>
      <c r="AF226" s="466"/>
      <c r="AG226" s="467">
        <v>0</v>
      </c>
      <c r="AH226" s="15">
        <f t="shared" si="20"/>
        <v>0</v>
      </c>
    </row>
    <row r="227" spans="1:34">
      <c r="A227" s="346" t="s">
        <v>243</v>
      </c>
      <c r="B227" s="347" t="s">
        <v>259</v>
      </c>
      <c r="C227" s="348"/>
      <c r="D227" s="346">
        <v>163657</v>
      </c>
      <c r="E227" s="346">
        <v>8</v>
      </c>
      <c r="F227" s="464">
        <f t="shared" si="16"/>
        <v>404108</v>
      </c>
      <c r="G227" s="465">
        <f t="shared" si="17"/>
        <v>404271</v>
      </c>
      <c r="H227" s="466">
        <v>172343</v>
      </c>
      <c r="I227" s="467">
        <v>67452</v>
      </c>
      <c r="J227" s="466">
        <v>185023</v>
      </c>
      <c r="K227" s="467">
        <v>39966</v>
      </c>
      <c r="L227" s="466">
        <v>46742</v>
      </c>
      <c r="M227" s="466">
        <v>0</v>
      </c>
      <c r="N227" s="466">
        <v>0</v>
      </c>
      <c r="O227" s="467">
        <v>296853</v>
      </c>
      <c r="P227" s="467">
        <v>0</v>
      </c>
      <c r="Q227" s="467">
        <v>0</v>
      </c>
      <c r="R227" s="466">
        <v>0</v>
      </c>
      <c r="S227" s="467">
        <v>0</v>
      </c>
      <c r="T227" s="464">
        <f t="shared" si="18"/>
        <v>0</v>
      </c>
      <c r="U227" s="465">
        <f t="shared" si="19"/>
        <v>0</v>
      </c>
      <c r="V227" s="466">
        <v>0</v>
      </c>
      <c r="W227" s="467">
        <v>0</v>
      </c>
      <c r="X227" s="466">
        <v>0</v>
      </c>
      <c r="Y227" s="467">
        <v>0</v>
      </c>
      <c r="Z227" s="466">
        <v>0</v>
      </c>
      <c r="AA227" s="466">
        <v>0</v>
      </c>
      <c r="AB227" s="466">
        <v>0</v>
      </c>
      <c r="AC227" s="467">
        <v>0</v>
      </c>
      <c r="AD227" s="467">
        <v>0</v>
      </c>
      <c r="AE227" s="467">
        <v>0</v>
      </c>
      <c r="AF227" s="466"/>
      <c r="AG227" s="467">
        <v>0</v>
      </c>
      <c r="AH227" s="15">
        <f t="shared" si="20"/>
        <v>0</v>
      </c>
    </row>
    <row r="228" spans="1:34" s="14" customFormat="1" ht="15" customHeight="1">
      <c r="A228" s="346" t="s">
        <v>243</v>
      </c>
      <c r="B228" s="347" t="s">
        <v>266</v>
      </c>
      <c r="C228" s="349"/>
      <c r="D228" s="346">
        <v>164313</v>
      </c>
      <c r="E228" s="346">
        <v>10</v>
      </c>
      <c r="F228" s="464">
        <f t="shared" si="16"/>
        <v>49154.5</v>
      </c>
      <c r="G228" s="465">
        <f t="shared" si="17"/>
        <v>47327</v>
      </c>
      <c r="H228" s="466">
        <v>31510.5</v>
      </c>
      <c r="I228" s="467">
        <v>17344.5</v>
      </c>
      <c r="J228" s="466">
        <v>4864</v>
      </c>
      <c r="K228" s="467">
        <v>1075</v>
      </c>
      <c r="L228" s="466">
        <v>12525</v>
      </c>
      <c r="M228" s="466">
        <v>255</v>
      </c>
      <c r="N228" s="466">
        <v>0</v>
      </c>
      <c r="O228" s="467">
        <v>28907.5</v>
      </c>
      <c r="P228" s="467">
        <v>0</v>
      </c>
      <c r="Q228" s="467">
        <v>0</v>
      </c>
      <c r="R228" s="466">
        <v>0</v>
      </c>
      <c r="S228" s="467">
        <v>0</v>
      </c>
      <c r="T228" s="464">
        <f t="shared" si="18"/>
        <v>0</v>
      </c>
      <c r="U228" s="465">
        <f t="shared" si="19"/>
        <v>0</v>
      </c>
      <c r="V228" s="466">
        <v>0</v>
      </c>
      <c r="W228" s="467">
        <v>0</v>
      </c>
      <c r="X228" s="466">
        <v>0</v>
      </c>
      <c r="Y228" s="467">
        <v>0</v>
      </c>
      <c r="Z228" s="466">
        <v>0</v>
      </c>
      <c r="AA228" s="466">
        <v>0</v>
      </c>
      <c r="AB228" s="466">
        <v>0</v>
      </c>
      <c r="AC228" s="467">
        <v>0</v>
      </c>
      <c r="AD228" s="467">
        <v>0</v>
      </c>
      <c r="AE228" s="467">
        <v>0</v>
      </c>
      <c r="AF228" s="466"/>
      <c r="AG228" s="467">
        <v>0</v>
      </c>
      <c r="AH228" s="15">
        <f t="shared" si="20"/>
        <v>0</v>
      </c>
    </row>
    <row r="229" spans="1:34">
      <c r="A229" s="346" t="s">
        <v>243</v>
      </c>
      <c r="B229" s="347" t="s">
        <v>247</v>
      </c>
      <c r="C229" s="348" t="s">
        <v>715</v>
      </c>
      <c r="D229" s="346">
        <v>162007</v>
      </c>
      <c r="E229" s="346">
        <v>4</v>
      </c>
      <c r="F229" s="464">
        <f t="shared" si="16"/>
        <v>141638</v>
      </c>
      <c r="G229" s="465">
        <f t="shared" si="17"/>
        <v>146010</v>
      </c>
      <c r="H229" s="466">
        <v>110627</v>
      </c>
      <c r="I229" s="467">
        <v>51275</v>
      </c>
      <c r="J229" s="466">
        <v>16</v>
      </c>
      <c r="K229" s="467">
        <v>0</v>
      </c>
      <c r="L229" s="466">
        <v>30995</v>
      </c>
      <c r="M229" s="466">
        <v>0</v>
      </c>
      <c r="N229" s="466">
        <v>0</v>
      </c>
      <c r="O229" s="467">
        <v>94735</v>
      </c>
      <c r="P229" s="467">
        <v>0</v>
      </c>
      <c r="Q229" s="467">
        <v>0</v>
      </c>
      <c r="R229" s="466">
        <v>0</v>
      </c>
      <c r="S229" s="467">
        <v>0</v>
      </c>
      <c r="T229" s="464">
        <f t="shared" si="18"/>
        <v>15058</v>
      </c>
      <c r="U229" s="465">
        <f t="shared" si="19"/>
        <v>15128</v>
      </c>
      <c r="V229" s="466">
        <v>11689</v>
      </c>
      <c r="W229" s="467">
        <v>5431</v>
      </c>
      <c r="X229" s="466">
        <v>207</v>
      </c>
      <c r="Y229" s="467">
        <v>0</v>
      </c>
      <c r="Z229" s="466">
        <v>3162</v>
      </c>
      <c r="AA229" s="466">
        <v>0</v>
      </c>
      <c r="AB229" s="466">
        <v>0</v>
      </c>
      <c r="AC229" s="467">
        <v>9697</v>
      </c>
      <c r="AD229" s="467">
        <v>0</v>
      </c>
      <c r="AE229" s="467">
        <v>0</v>
      </c>
      <c r="AF229" s="466">
        <v>0</v>
      </c>
      <c r="AG229" s="467">
        <v>0</v>
      </c>
      <c r="AH229" s="15">
        <f t="shared" si="20"/>
        <v>15128</v>
      </c>
    </row>
    <row r="230" spans="1:34">
      <c r="A230" s="346" t="s">
        <v>243</v>
      </c>
      <c r="B230" s="347" t="s">
        <v>252</v>
      </c>
      <c r="C230" s="348" t="s">
        <v>731</v>
      </c>
      <c r="D230" s="346">
        <v>162283</v>
      </c>
      <c r="E230" s="346">
        <v>5</v>
      </c>
      <c r="F230" s="464">
        <f t="shared" si="16"/>
        <v>60266</v>
      </c>
      <c r="G230" s="465">
        <f t="shared" si="17"/>
        <v>56181</v>
      </c>
      <c r="H230" s="466">
        <v>48082</v>
      </c>
      <c r="I230" s="467">
        <v>42034</v>
      </c>
      <c r="J230" s="466">
        <v>0</v>
      </c>
      <c r="K230" s="467">
        <v>21</v>
      </c>
      <c r="L230" s="466">
        <v>12184</v>
      </c>
      <c r="M230" s="466">
        <v>0</v>
      </c>
      <c r="N230" s="466">
        <v>0</v>
      </c>
      <c r="O230" s="467">
        <v>14126</v>
      </c>
      <c r="P230" s="467">
        <v>0</v>
      </c>
      <c r="Q230" s="467">
        <v>0</v>
      </c>
      <c r="R230" s="466">
        <v>0</v>
      </c>
      <c r="S230" s="467">
        <v>0</v>
      </c>
      <c r="T230" s="464">
        <f t="shared" si="18"/>
        <v>4591</v>
      </c>
      <c r="U230" s="465">
        <f t="shared" si="19"/>
        <v>3776</v>
      </c>
      <c r="V230" s="466">
        <v>3883</v>
      </c>
      <c r="W230" s="467">
        <v>2998</v>
      </c>
      <c r="X230" s="466">
        <v>84</v>
      </c>
      <c r="Y230" s="467">
        <v>48</v>
      </c>
      <c r="Z230" s="466">
        <v>624</v>
      </c>
      <c r="AA230" s="466">
        <v>0</v>
      </c>
      <c r="AB230" s="466">
        <v>0</v>
      </c>
      <c r="AC230" s="467">
        <v>730</v>
      </c>
      <c r="AD230" s="467">
        <v>0</v>
      </c>
      <c r="AE230" s="467">
        <v>0</v>
      </c>
      <c r="AF230" s="466">
        <v>0</v>
      </c>
      <c r="AG230" s="467">
        <v>0</v>
      </c>
      <c r="AH230" s="15">
        <f t="shared" si="20"/>
        <v>3776</v>
      </c>
    </row>
    <row r="231" spans="1:34">
      <c r="A231" s="346" t="s">
        <v>243</v>
      </c>
      <c r="B231" s="347" t="s">
        <v>248</v>
      </c>
      <c r="C231" s="348"/>
      <c r="D231" s="346">
        <v>162584</v>
      </c>
      <c r="E231" s="346">
        <v>4</v>
      </c>
      <c r="F231" s="464">
        <f t="shared" si="16"/>
        <v>122893</v>
      </c>
      <c r="G231" s="465">
        <f t="shared" si="17"/>
        <v>112015</v>
      </c>
      <c r="H231" s="466">
        <v>92082</v>
      </c>
      <c r="I231" s="467">
        <v>83175</v>
      </c>
      <c r="J231" s="466">
        <v>2350</v>
      </c>
      <c r="K231" s="467">
        <v>1717</v>
      </c>
      <c r="L231" s="466">
        <v>28461</v>
      </c>
      <c r="M231" s="466">
        <v>0</v>
      </c>
      <c r="N231" s="466">
        <v>0</v>
      </c>
      <c r="O231" s="467">
        <v>27123</v>
      </c>
      <c r="P231" s="467">
        <v>0</v>
      </c>
      <c r="Q231" s="467">
        <v>0</v>
      </c>
      <c r="R231" s="466">
        <v>0</v>
      </c>
      <c r="S231" s="467">
        <v>0</v>
      </c>
      <c r="T231" s="464">
        <f t="shared" si="18"/>
        <v>12242</v>
      </c>
      <c r="U231" s="465">
        <f t="shared" si="19"/>
        <v>13518</v>
      </c>
      <c r="V231" s="466">
        <v>4604</v>
      </c>
      <c r="W231" s="467">
        <v>3818</v>
      </c>
      <c r="X231" s="466">
        <v>1385</v>
      </c>
      <c r="Y231" s="467">
        <v>2593</v>
      </c>
      <c r="Z231" s="466">
        <v>6253</v>
      </c>
      <c r="AA231" s="466">
        <v>0</v>
      </c>
      <c r="AB231" s="466">
        <v>0</v>
      </c>
      <c r="AC231" s="467">
        <v>7107</v>
      </c>
      <c r="AD231" s="467">
        <v>0</v>
      </c>
      <c r="AE231" s="467">
        <v>0</v>
      </c>
      <c r="AF231" s="466">
        <v>0</v>
      </c>
      <c r="AG231" s="467">
        <v>0</v>
      </c>
      <c r="AH231" s="15">
        <f t="shared" si="20"/>
        <v>13518</v>
      </c>
    </row>
    <row r="232" spans="1:34">
      <c r="A232" s="346" t="s">
        <v>243</v>
      </c>
      <c r="B232" s="347" t="s">
        <v>249</v>
      </c>
      <c r="C232" s="348"/>
      <c r="D232" s="346">
        <v>163851</v>
      </c>
      <c r="E232" s="346">
        <v>4</v>
      </c>
      <c r="F232" s="464">
        <f t="shared" si="16"/>
        <v>226587</v>
      </c>
      <c r="G232" s="465">
        <f t="shared" si="17"/>
        <v>219186</v>
      </c>
      <c r="H232" s="466">
        <v>192704</v>
      </c>
      <c r="I232" s="467">
        <v>99471</v>
      </c>
      <c r="J232" s="466">
        <v>2949</v>
      </c>
      <c r="K232" s="467">
        <v>1325</v>
      </c>
      <c r="L232" s="466">
        <v>22931</v>
      </c>
      <c r="M232" s="466">
        <v>8003</v>
      </c>
      <c r="N232" s="466">
        <v>0</v>
      </c>
      <c r="O232" s="467">
        <v>89901</v>
      </c>
      <c r="P232" s="467">
        <v>28489</v>
      </c>
      <c r="Q232" s="467">
        <v>0</v>
      </c>
      <c r="R232" s="466">
        <v>0</v>
      </c>
      <c r="S232" s="467">
        <v>0</v>
      </c>
      <c r="T232" s="464">
        <f t="shared" si="18"/>
        <v>15569</v>
      </c>
      <c r="U232" s="465">
        <f t="shared" si="19"/>
        <v>16561</v>
      </c>
      <c r="V232" s="466">
        <v>2032</v>
      </c>
      <c r="W232" s="467">
        <v>967</v>
      </c>
      <c r="X232" s="466">
        <v>69</v>
      </c>
      <c r="Y232" s="467">
        <v>30</v>
      </c>
      <c r="Z232" s="466">
        <v>10338</v>
      </c>
      <c r="AA232" s="466">
        <v>3130</v>
      </c>
      <c r="AB232" s="466">
        <v>0</v>
      </c>
      <c r="AC232" s="467">
        <v>12055</v>
      </c>
      <c r="AD232" s="467">
        <v>3509</v>
      </c>
      <c r="AE232" s="467">
        <v>0</v>
      </c>
      <c r="AF232" s="466">
        <v>0</v>
      </c>
      <c r="AG232" s="467">
        <v>0</v>
      </c>
      <c r="AH232" s="15">
        <f t="shared" si="20"/>
        <v>16561</v>
      </c>
    </row>
    <row r="233" spans="1:34">
      <c r="A233" s="346" t="s">
        <v>243</v>
      </c>
      <c r="B233" s="347" t="s">
        <v>246</v>
      </c>
      <c r="C233" s="348"/>
      <c r="D233" s="346">
        <v>164076</v>
      </c>
      <c r="E233" s="346">
        <v>3</v>
      </c>
      <c r="F233" s="464">
        <f t="shared" si="16"/>
        <v>549406.5</v>
      </c>
      <c r="G233" s="465">
        <f t="shared" si="17"/>
        <v>539315</v>
      </c>
      <c r="H233" s="466">
        <v>471443.5</v>
      </c>
      <c r="I233" s="467">
        <v>285422</v>
      </c>
      <c r="J233" s="466">
        <v>12031</v>
      </c>
      <c r="K233" s="467">
        <v>6337</v>
      </c>
      <c r="L233" s="466">
        <v>65878</v>
      </c>
      <c r="M233" s="466">
        <v>54</v>
      </c>
      <c r="N233" s="466">
        <v>0</v>
      </c>
      <c r="O233" s="467">
        <v>247556</v>
      </c>
      <c r="P233" s="467">
        <v>0</v>
      </c>
      <c r="Q233" s="467">
        <v>0</v>
      </c>
      <c r="R233" s="466">
        <v>0</v>
      </c>
      <c r="S233" s="467">
        <v>0</v>
      </c>
      <c r="T233" s="464">
        <f t="shared" si="18"/>
        <v>44384</v>
      </c>
      <c r="U233" s="465">
        <f t="shared" si="19"/>
        <v>44942</v>
      </c>
      <c r="V233" s="466">
        <v>26883</v>
      </c>
      <c r="W233" s="467">
        <v>18441.5</v>
      </c>
      <c r="X233" s="466">
        <v>6884</v>
      </c>
      <c r="Y233" s="467">
        <v>3484</v>
      </c>
      <c r="Z233" s="466">
        <v>10617</v>
      </c>
      <c r="AA233" s="466">
        <v>0</v>
      </c>
      <c r="AB233" s="466">
        <v>0</v>
      </c>
      <c r="AC233" s="467">
        <v>23016.5</v>
      </c>
      <c r="AD233" s="467">
        <v>0</v>
      </c>
      <c r="AE233" s="467">
        <v>0</v>
      </c>
      <c r="AF233" s="466">
        <v>0</v>
      </c>
      <c r="AG233" s="467">
        <v>0</v>
      </c>
      <c r="AH233" s="15">
        <f t="shared" si="20"/>
        <v>44942</v>
      </c>
    </row>
    <row r="234" spans="1:34">
      <c r="A234" s="346" t="s">
        <v>243</v>
      </c>
      <c r="B234" s="347" t="s">
        <v>250</v>
      </c>
      <c r="C234" s="349"/>
      <c r="D234" s="346">
        <v>161873</v>
      </c>
      <c r="E234" s="346">
        <v>3</v>
      </c>
      <c r="F234" s="464">
        <f t="shared" si="16"/>
        <v>49150</v>
      </c>
      <c r="G234" s="465">
        <f t="shared" si="17"/>
        <v>41180</v>
      </c>
      <c r="H234" s="466">
        <v>32248</v>
      </c>
      <c r="I234" s="467">
        <v>24214</v>
      </c>
      <c r="J234" s="466">
        <v>1104</v>
      </c>
      <c r="K234" s="467">
        <v>1074</v>
      </c>
      <c r="L234" s="466">
        <v>15798</v>
      </c>
      <c r="M234" s="466">
        <v>0</v>
      </c>
      <c r="N234" s="466">
        <v>0</v>
      </c>
      <c r="O234" s="467">
        <v>15892</v>
      </c>
      <c r="P234" s="467">
        <v>0</v>
      </c>
      <c r="Q234" s="467">
        <v>0</v>
      </c>
      <c r="R234" s="466">
        <v>0</v>
      </c>
      <c r="S234" s="467">
        <v>0</v>
      </c>
      <c r="T234" s="464">
        <f t="shared" si="18"/>
        <v>40994.5</v>
      </c>
      <c r="U234" s="465">
        <f t="shared" si="19"/>
        <v>39419.5</v>
      </c>
      <c r="V234" s="466">
        <v>29313</v>
      </c>
      <c r="W234" s="467">
        <v>27661.5</v>
      </c>
      <c r="X234" s="466">
        <v>1297</v>
      </c>
      <c r="Y234" s="467">
        <v>837</v>
      </c>
      <c r="Z234" s="466">
        <v>10384.5</v>
      </c>
      <c r="AA234" s="466">
        <v>0</v>
      </c>
      <c r="AB234" s="466">
        <v>0</v>
      </c>
      <c r="AC234" s="467">
        <v>10921</v>
      </c>
      <c r="AD234" s="467">
        <v>0</v>
      </c>
      <c r="AE234" s="467">
        <v>0</v>
      </c>
      <c r="AF234" s="466">
        <v>0</v>
      </c>
      <c r="AG234" s="467">
        <v>0</v>
      </c>
      <c r="AH234" s="15">
        <f t="shared" si="20"/>
        <v>39419.5</v>
      </c>
    </row>
    <row r="235" spans="1:34">
      <c r="A235" s="346" t="s">
        <v>243</v>
      </c>
      <c r="B235" s="347" t="s">
        <v>270</v>
      </c>
      <c r="C235" s="349"/>
      <c r="D235" s="346">
        <v>163259</v>
      </c>
      <c r="E235" s="346">
        <v>15</v>
      </c>
      <c r="F235" s="464">
        <f t="shared" si="16"/>
        <v>22681.5</v>
      </c>
      <c r="G235" s="465">
        <f t="shared" si="17"/>
        <v>22607</v>
      </c>
      <c r="H235" s="466">
        <v>11379</v>
      </c>
      <c r="I235" s="467">
        <v>11143</v>
      </c>
      <c r="J235" s="466">
        <v>7408</v>
      </c>
      <c r="K235" s="467">
        <v>7447</v>
      </c>
      <c r="L235" s="466">
        <v>3894.5</v>
      </c>
      <c r="M235" s="466">
        <v>0</v>
      </c>
      <c r="N235" s="466">
        <v>0</v>
      </c>
      <c r="O235" s="467">
        <v>4017</v>
      </c>
      <c r="P235" s="467">
        <v>0</v>
      </c>
      <c r="Q235" s="467">
        <v>0</v>
      </c>
      <c r="R235" s="466">
        <v>0</v>
      </c>
      <c r="S235" s="467">
        <v>0</v>
      </c>
      <c r="T235" s="464">
        <f t="shared" si="18"/>
        <v>51874</v>
      </c>
      <c r="U235" s="465">
        <f t="shared" si="19"/>
        <v>77758</v>
      </c>
      <c r="V235" s="466">
        <v>25949</v>
      </c>
      <c r="W235" s="467">
        <v>38444</v>
      </c>
      <c r="X235" s="466">
        <v>7355</v>
      </c>
      <c r="Y235" s="467">
        <v>17219</v>
      </c>
      <c r="Z235" s="466">
        <v>18305</v>
      </c>
      <c r="AA235" s="466">
        <v>265</v>
      </c>
      <c r="AB235" s="466">
        <v>0</v>
      </c>
      <c r="AC235" s="467">
        <v>10539</v>
      </c>
      <c r="AD235" s="467">
        <v>11556</v>
      </c>
      <c r="AE235" s="467">
        <v>0</v>
      </c>
      <c r="AF235" s="466">
        <v>0</v>
      </c>
      <c r="AG235" s="467">
        <v>0</v>
      </c>
      <c r="AH235" s="15">
        <f t="shared" si="20"/>
        <v>77758</v>
      </c>
    </row>
    <row r="236" spans="1:34">
      <c r="A236" s="346" t="s">
        <v>243</v>
      </c>
      <c r="B236" s="347" t="s">
        <v>245</v>
      </c>
      <c r="C236" s="348"/>
      <c r="D236" s="346">
        <v>163268</v>
      </c>
      <c r="E236" s="346">
        <v>2</v>
      </c>
      <c r="F236" s="464">
        <f t="shared" si="16"/>
        <v>314288.5</v>
      </c>
      <c r="G236" s="465">
        <f t="shared" si="17"/>
        <v>314224.5</v>
      </c>
      <c r="H236" s="466">
        <v>261271.5</v>
      </c>
      <c r="I236" s="467">
        <v>118868</v>
      </c>
      <c r="J236" s="466">
        <v>7504</v>
      </c>
      <c r="K236" s="467">
        <v>3644</v>
      </c>
      <c r="L236" s="466">
        <v>45513</v>
      </c>
      <c r="M236" s="466">
        <v>0</v>
      </c>
      <c r="N236" s="466">
        <v>0</v>
      </c>
      <c r="O236" s="467">
        <v>191712.5</v>
      </c>
      <c r="P236" s="467">
        <v>0</v>
      </c>
      <c r="Q236" s="467">
        <v>0</v>
      </c>
      <c r="R236" s="466">
        <v>0</v>
      </c>
      <c r="S236" s="467">
        <v>0</v>
      </c>
      <c r="T236" s="464">
        <f t="shared" si="18"/>
        <v>34824</v>
      </c>
      <c r="U236" s="465">
        <f t="shared" si="19"/>
        <v>36927</v>
      </c>
      <c r="V236" s="466">
        <v>24228</v>
      </c>
      <c r="W236" s="467">
        <v>12198</v>
      </c>
      <c r="X236" s="466">
        <v>2594</v>
      </c>
      <c r="Y236" s="467">
        <v>1021</v>
      </c>
      <c r="Z236" s="466">
        <v>8002</v>
      </c>
      <c r="AA236" s="466">
        <v>0</v>
      </c>
      <c r="AB236" s="466">
        <v>0</v>
      </c>
      <c r="AC236" s="467">
        <v>23708</v>
      </c>
      <c r="AD236" s="467">
        <v>0</v>
      </c>
      <c r="AE236" s="467">
        <v>0</v>
      </c>
      <c r="AF236" s="466">
        <v>0</v>
      </c>
      <c r="AG236" s="467">
        <v>0</v>
      </c>
      <c r="AH236" s="15">
        <f t="shared" si="20"/>
        <v>36927</v>
      </c>
    </row>
    <row r="237" spans="1:34">
      <c r="A237" s="346" t="s">
        <v>243</v>
      </c>
      <c r="B237" s="372" t="s">
        <v>765</v>
      </c>
      <c r="C237" s="348"/>
      <c r="D237" s="346">
        <v>163286</v>
      </c>
      <c r="E237" s="346">
        <v>1</v>
      </c>
      <c r="F237" s="464">
        <f t="shared" si="16"/>
        <v>871990</v>
      </c>
      <c r="G237" s="465">
        <f t="shared" si="17"/>
        <v>883046</v>
      </c>
      <c r="H237" s="466">
        <v>807620</v>
      </c>
      <c r="I237" s="467">
        <v>435071</v>
      </c>
      <c r="J237" s="466">
        <v>16044</v>
      </c>
      <c r="K237" s="467">
        <v>8141</v>
      </c>
      <c r="L237" s="466">
        <v>47510</v>
      </c>
      <c r="M237" s="466">
        <v>816</v>
      </c>
      <c r="N237" s="466">
        <v>0</v>
      </c>
      <c r="O237" s="467">
        <v>439462</v>
      </c>
      <c r="P237" s="467">
        <v>372</v>
      </c>
      <c r="Q237" s="467">
        <v>0</v>
      </c>
      <c r="R237" s="466">
        <v>0</v>
      </c>
      <c r="S237" s="467">
        <v>0</v>
      </c>
      <c r="T237" s="464">
        <f t="shared" si="18"/>
        <v>154217</v>
      </c>
      <c r="U237" s="465">
        <f t="shared" si="19"/>
        <v>150008</v>
      </c>
      <c r="V237" s="466">
        <v>116229</v>
      </c>
      <c r="W237" s="467">
        <v>76767</v>
      </c>
      <c r="X237" s="466">
        <v>17969</v>
      </c>
      <c r="Y237" s="467">
        <v>11771</v>
      </c>
      <c r="Z237" s="466">
        <v>19674</v>
      </c>
      <c r="AA237" s="466">
        <v>345</v>
      </c>
      <c r="AB237" s="466">
        <v>0</v>
      </c>
      <c r="AC237" s="467">
        <v>61318</v>
      </c>
      <c r="AD237" s="467">
        <v>152</v>
      </c>
      <c r="AE237" s="467">
        <v>0</v>
      </c>
      <c r="AF237" s="466">
        <v>0</v>
      </c>
      <c r="AG237" s="467">
        <v>0</v>
      </c>
      <c r="AH237" s="15">
        <f t="shared" si="20"/>
        <v>150008</v>
      </c>
    </row>
    <row r="238" spans="1:34">
      <c r="A238" s="346" t="s">
        <v>243</v>
      </c>
      <c r="B238" s="347" t="s">
        <v>251</v>
      </c>
      <c r="C238" s="348"/>
      <c r="D238" s="346">
        <v>163338</v>
      </c>
      <c r="E238" s="346">
        <v>4</v>
      </c>
      <c r="F238" s="464">
        <f t="shared" si="16"/>
        <v>68761</v>
      </c>
      <c r="G238" s="465">
        <f t="shared" si="17"/>
        <v>61666</v>
      </c>
      <c r="H238" s="466">
        <v>55630.5</v>
      </c>
      <c r="I238" s="467">
        <v>37506</v>
      </c>
      <c r="J238" s="466">
        <v>1098.5</v>
      </c>
      <c r="K238" s="467">
        <v>683.5</v>
      </c>
      <c r="L238" s="466">
        <v>12032</v>
      </c>
      <c r="M238" s="466">
        <v>0</v>
      </c>
      <c r="N238" s="466">
        <v>0</v>
      </c>
      <c r="O238" s="467">
        <v>23476.5</v>
      </c>
      <c r="P238" s="467">
        <v>0</v>
      </c>
      <c r="Q238" s="467">
        <v>0</v>
      </c>
      <c r="R238" s="466">
        <v>0</v>
      </c>
      <c r="S238" s="467">
        <v>0</v>
      </c>
      <c r="T238" s="464">
        <f t="shared" si="18"/>
        <v>15411.5</v>
      </c>
      <c r="U238" s="465">
        <f t="shared" si="19"/>
        <v>15529.5</v>
      </c>
      <c r="V238" s="466">
        <v>14367.5</v>
      </c>
      <c r="W238" s="467">
        <v>11465</v>
      </c>
      <c r="X238" s="466">
        <v>360</v>
      </c>
      <c r="Y238" s="467">
        <v>213</v>
      </c>
      <c r="Z238" s="466">
        <v>684</v>
      </c>
      <c r="AA238" s="466">
        <v>0</v>
      </c>
      <c r="AB238" s="466">
        <v>0</v>
      </c>
      <c r="AC238" s="467">
        <v>3851.5</v>
      </c>
      <c r="AD238" s="467">
        <v>0</v>
      </c>
      <c r="AE238" s="467">
        <v>0</v>
      </c>
      <c r="AF238" s="466">
        <v>0</v>
      </c>
      <c r="AG238" s="467">
        <v>0</v>
      </c>
      <c r="AH238" s="15">
        <f t="shared" si="20"/>
        <v>15529.5</v>
      </c>
    </row>
    <row r="239" spans="1:34">
      <c r="A239" s="346" t="s">
        <v>243</v>
      </c>
      <c r="B239" s="347" t="s">
        <v>732</v>
      </c>
      <c r="C239" s="348"/>
      <c r="D239" s="346">
        <v>163204</v>
      </c>
      <c r="E239" s="346">
        <v>15</v>
      </c>
      <c r="F239" s="464">
        <f t="shared" si="16"/>
        <v>812451</v>
      </c>
      <c r="G239" s="465">
        <f t="shared" si="17"/>
        <v>868447</v>
      </c>
      <c r="H239" s="466">
        <v>0</v>
      </c>
      <c r="I239" s="467">
        <v>0</v>
      </c>
      <c r="J239" s="466">
        <v>36867</v>
      </c>
      <c r="K239" s="467">
        <v>29413</v>
      </c>
      <c r="L239" s="466">
        <v>775584</v>
      </c>
      <c r="M239" s="466">
        <v>0</v>
      </c>
      <c r="N239" s="466">
        <v>0</v>
      </c>
      <c r="O239" s="467">
        <v>839034</v>
      </c>
      <c r="P239" s="467">
        <v>0</v>
      </c>
      <c r="Q239" s="467">
        <v>0</v>
      </c>
      <c r="R239" s="466">
        <v>0</v>
      </c>
      <c r="S239" s="467">
        <v>0</v>
      </c>
      <c r="T239" s="464">
        <f t="shared" si="18"/>
        <v>192417</v>
      </c>
      <c r="U239" s="465">
        <f t="shared" si="19"/>
        <v>189581</v>
      </c>
      <c r="V239" s="466">
        <v>0</v>
      </c>
      <c r="W239" s="467">
        <v>0</v>
      </c>
      <c r="X239" s="466">
        <v>2868</v>
      </c>
      <c r="Y239" s="467">
        <v>3480</v>
      </c>
      <c r="Z239" s="466">
        <v>189549</v>
      </c>
      <c r="AA239" s="466">
        <v>0</v>
      </c>
      <c r="AB239" s="466">
        <v>0</v>
      </c>
      <c r="AC239" s="467">
        <v>186101</v>
      </c>
      <c r="AD239" s="467">
        <v>0</v>
      </c>
      <c r="AE239" s="467">
        <v>0</v>
      </c>
      <c r="AF239" s="466">
        <v>0</v>
      </c>
      <c r="AG239" s="467">
        <v>0</v>
      </c>
      <c r="AH239" s="15">
        <f t="shared" si="20"/>
        <v>189581</v>
      </c>
    </row>
    <row r="240" spans="1:34">
      <c r="A240" s="346" t="s">
        <v>243</v>
      </c>
      <c r="B240" s="347" t="s">
        <v>244</v>
      </c>
      <c r="C240" s="349"/>
      <c r="D240" s="346">
        <v>163453</v>
      </c>
      <c r="E240" s="346">
        <v>2</v>
      </c>
      <c r="F240" s="464">
        <f t="shared" si="16"/>
        <v>184511</v>
      </c>
      <c r="G240" s="465">
        <f t="shared" si="17"/>
        <v>182089</v>
      </c>
      <c r="H240" s="466">
        <v>163691</v>
      </c>
      <c r="I240" s="467">
        <v>147893</v>
      </c>
      <c r="J240" s="466">
        <v>88</v>
      </c>
      <c r="K240" s="467">
        <v>63</v>
      </c>
      <c r="L240" s="466">
        <v>20732</v>
      </c>
      <c r="M240" s="466">
        <v>0</v>
      </c>
      <c r="N240" s="466">
        <v>0</v>
      </c>
      <c r="O240" s="467">
        <v>34133</v>
      </c>
      <c r="P240" s="467">
        <v>0</v>
      </c>
      <c r="Q240" s="467">
        <v>0</v>
      </c>
      <c r="R240" s="466">
        <v>0</v>
      </c>
      <c r="S240" s="467">
        <v>0</v>
      </c>
      <c r="T240" s="464">
        <f t="shared" si="18"/>
        <v>24608</v>
      </c>
      <c r="U240" s="465">
        <f t="shared" si="19"/>
        <v>25251</v>
      </c>
      <c r="V240" s="466">
        <v>19131</v>
      </c>
      <c r="W240" s="467">
        <v>18852</v>
      </c>
      <c r="X240" s="466">
        <v>63</v>
      </c>
      <c r="Y240" s="467">
        <v>27</v>
      </c>
      <c r="Z240" s="466">
        <v>5414</v>
      </c>
      <c r="AA240" s="466">
        <v>0</v>
      </c>
      <c r="AB240" s="466">
        <v>0</v>
      </c>
      <c r="AC240" s="467">
        <v>6372</v>
      </c>
      <c r="AD240" s="467">
        <v>0</v>
      </c>
      <c r="AE240" s="467">
        <v>0</v>
      </c>
      <c r="AF240" s="466">
        <v>0</v>
      </c>
      <c r="AG240" s="467">
        <v>0</v>
      </c>
      <c r="AH240" s="15">
        <f t="shared" si="20"/>
        <v>25251</v>
      </c>
    </row>
    <row r="241" spans="1:34">
      <c r="A241" s="346" t="s">
        <v>243</v>
      </c>
      <c r="B241" s="347" t="s">
        <v>253</v>
      </c>
      <c r="C241" s="348"/>
      <c r="D241" s="346">
        <v>163912</v>
      </c>
      <c r="E241" s="346">
        <v>6</v>
      </c>
      <c r="F241" s="464">
        <f t="shared" si="16"/>
        <v>46862</v>
      </c>
      <c r="G241" s="465">
        <f t="shared" si="17"/>
        <v>46411.5</v>
      </c>
      <c r="H241" s="466">
        <v>46630</v>
      </c>
      <c r="I241" s="467">
        <v>35938.5</v>
      </c>
      <c r="J241" s="466">
        <v>0</v>
      </c>
      <c r="K241" s="467">
        <v>0</v>
      </c>
      <c r="L241" s="466">
        <v>232</v>
      </c>
      <c r="M241" s="466">
        <v>0</v>
      </c>
      <c r="N241" s="466">
        <v>0</v>
      </c>
      <c r="O241" s="467">
        <v>10473</v>
      </c>
      <c r="P241" s="467">
        <v>0</v>
      </c>
      <c r="Q241" s="467">
        <v>0</v>
      </c>
      <c r="R241" s="466">
        <v>0</v>
      </c>
      <c r="S241" s="467">
        <v>0</v>
      </c>
      <c r="T241" s="464">
        <f t="shared" si="18"/>
        <v>1122</v>
      </c>
      <c r="U241" s="465">
        <f t="shared" si="19"/>
        <v>889</v>
      </c>
      <c r="V241" s="466">
        <v>1122</v>
      </c>
      <c r="W241" s="467">
        <v>292</v>
      </c>
      <c r="X241" s="466">
        <v>0</v>
      </c>
      <c r="Y241" s="467">
        <v>0</v>
      </c>
      <c r="Z241" s="466">
        <v>0</v>
      </c>
      <c r="AA241" s="466">
        <v>0</v>
      </c>
      <c r="AB241" s="466">
        <v>0</v>
      </c>
      <c r="AC241" s="467">
        <v>597</v>
      </c>
      <c r="AD241" s="467">
        <v>0</v>
      </c>
      <c r="AE241" s="467">
        <v>0</v>
      </c>
      <c r="AF241" s="466">
        <v>0</v>
      </c>
      <c r="AG241" s="467">
        <v>0</v>
      </c>
      <c r="AH241" s="15">
        <f t="shared" si="20"/>
        <v>889</v>
      </c>
    </row>
    <row r="242" spans="1:34" s="14" customFormat="1" ht="13.5" customHeight="1">
      <c r="A242" s="435" t="s">
        <v>271</v>
      </c>
      <c r="B242" s="373" t="s">
        <v>272</v>
      </c>
      <c r="C242" s="374"/>
      <c r="D242" s="375">
        <v>176080</v>
      </c>
      <c r="E242" s="375">
        <v>1</v>
      </c>
      <c r="F242" s="464">
        <f t="shared" si="16"/>
        <v>538054</v>
      </c>
      <c r="G242" s="465">
        <f t="shared" si="17"/>
        <v>549213</v>
      </c>
      <c r="H242" s="466">
        <v>486740</v>
      </c>
      <c r="I242" s="467">
        <v>342357</v>
      </c>
      <c r="J242" s="466">
        <v>8441</v>
      </c>
      <c r="K242" s="467">
        <v>5633</v>
      </c>
      <c r="L242" s="466">
        <v>42532</v>
      </c>
      <c r="M242" s="466">
        <v>339</v>
      </c>
      <c r="N242" s="466"/>
      <c r="O242" s="467">
        <v>200977</v>
      </c>
      <c r="P242" s="467">
        <v>246</v>
      </c>
      <c r="Q242" s="467"/>
      <c r="R242" s="466">
        <v>2</v>
      </c>
      <c r="S242" s="467"/>
      <c r="T242" s="464">
        <f t="shared" si="18"/>
        <v>54242</v>
      </c>
      <c r="U242" s="465">
        <f t="shared" si="19"/>
        <v>61690</v>
      </c>
      <c r="V242" s="466">
        <v>36980</v>
      </c>
      <c r="W242" s="467">
        <v>27861</v>
      </c>
      <c r="X242" s="466">
        <v>1943</v>
      </c>
      <c r="Y242" s="467">
        <v>685</v>
      </c>
      <c r="Z242" s="466">
        <v>15047</v>
      </c>
      <c r="AA242" s="466">
        <v>272</v>
      </c>
      <c r="AB242" s="466"/>
      <c r="AC242" s="467">
        <v>32946</v>
      </c>
      <c r="AD242" s="467">
        <v>198</v>
      </c>
      <c r="AE242" s="467"/>
      <c r="AF242" s="466"/>
      <c r="AG242" s="467"/>
    </row>
    <row r="243" spans="1:34" s="14" customFormat="1" ht="12.75" customHeight="1">
      <c r="A243" s="435" t="s">
        <v>271</v>
      </c>
      <c r="B243" s="373" t="s">
        <v>275</v>
      </c>
      <c r="C243" s="376"/>
      <c r="D243" s="375">
        <v>176017</v>
      </c>
      <c r="E243" s="375">
        <v>1</v>
      </c>
      <c r="F243" s="464">
        <f t="shared" si="16"/>
        <v>530980</v>
      </c>
      <c r="G243" s="465">
        <f t="shared" si="17"/>
        <v>501424</v>
      </c>
      <c r="H243" s="466">
        <v>408069</v>
      </c>
      <c r="I243" s="467">
        <v>242260</v>
      </c>
      <c r="J243" s="466">
        <v>30080</v>
      </c>
      <c r="K243" s="467">
        <v>28569</v>
      </c>
      <c r="L243" s="466">
        <v>78296</v>
      </c>
      <c r="M243" s="466">
        <v>9305</v>
      </c>
      <c r="N243" s="466"/>
      <c r="O243" s="467">
        <v>220926</v>
      </c>
      <c r="P243" s="467">
        <v>5319</v>
      </c>
      <c r="Q243" s="467"/>
      <c r="R243" s="466">
        <v>5230</v>
      </c>
      <c r="S243" s="467">
        <v>4350</v>
      </c>
      <c r="T243" s="464">
        <f t="shared" si="18"/>
        <v>69659</v>
      </c>
      <c r="U243" s="465">
        <f t="shared" si="19"/>
        <v>72959</v>
      </c>
      <c r="V243" s="466">
        <v>61177</v>
      </c>
      <c r="W243" s="467">
        <v>52519</v>
      </c>
      <c r="X243" s="466">
        <v>712</v>
      </c>
      <c r="Y243" s="467">
        <v>588</v>
      </c>
      <c r="Z243" s="466">
        <v>6822</v>
      </c>
      <c r="AA243" s="466">
        <v>864</v>
      </c>
      <c r="AB243" s="466"/>
      <c r="AC243" s="467">
        <v>19282</v>
      </c>
      <c r="AD243" s="467">
        <v>516</v>
      </c>
      <c r="AE243" s="467"/>
      <c r="AF243" s="466">
        <v>84</v>
      </c>
      <c r="AG243" s="467">
        <v>54</v>
      </c>
    </row>
    <row r="244" spans="1:34">
      <c r="A244" s="435" t="s">
        <v>271</v>
      </c>
      <c r="B244" s="373" t="s">
        <v>273</v>
      </c>
      <c r="C244" s="374"/>
      <c r="D244" s="375">
        <v>176372</v>
      </c>
      <c r="E244" s="375">
        <v>1</v>
      </c>
      <c r="F244" s="464">
        <f t="shared" si="16"/>
        <v>333866</v>
      </c>
      <c r="G244" s="465">
        <f t="shared" si="17"/>
        <v>330945</v>
      </c>
      <c r="H244" s="466">
        <v>204149</v>
      </c>
      <c r="I244" s="467">
        <v>124697</v>
      </c>
      <c r="J244" s="466">
        <v>22389</v>
      </c>
      <c r="K244" s="467">
        <v>12144</v>
      </c>
      <c r="L244" s="466">
        <v>104430</v>
      </c>
      <c r="M244" s="466">
        <v>2898</v>
      </c>
      <c r="N244" s="466"/>
      <c r="O244" s="467">
        <v>190809</v>
      </c>
      <c r="P244" s="467">
        <v>3295</v>
      </c>
      <c r="Q244" s="467"/>
      <c r="R244" s="466"/>
      <c r="S244" s="467"/>
      <c r="T244" s="464">
        <f t="shared" si="18"/>
        <v>48532</v>
      </c>
      <c r="U244" s="465">
        <f t="shared" si="19"/>
        <v>53687</v>
      </c>
      <c r="V244" s="466">
        <v>25910</v>
      </c>
      <c r="W244" s="467">
        <v>18776</v>
      </c>
      <c r="X244" s="466">
        <v>3662</v>
      </c>
      <c r="Y244" s="467">
        <v>2650</v>
      </c>
      <c r="Z244" s="466">
        <v>18696</v>
      </c>
      <c r="AA244" s="466">
        <v>264</v>
      </c>
      <c r="AB244" s="466"/>
      <c r="AC244" s="467">
        <v>31858</v>
      </c>
      <c r="AD244" s="467">
        <v>403</v>
      </c>
      <c r="AE244" s="467"/>
      <c r="AF244" s="466"/>
      <c r="AG244" s="467"/>
    </row>
    <row r="245" spans="1:34" s="14" customFormat="1" ht="15" customHeight="1">
      <c r="A245" s="435" t="s">
        <v>271</v>
      </c>
      <c r="B245" s="373" t="s">
        <v>274</v>
      </c>
      <c r="C245" s="374"/>
      <c r="D245" s="375">
        <v>175856</v>
      </c>
      <c r="E245" s="375">
        <v>2</v>
      </c>
      <c r="F245" s="464">
        <f t="shared" si="16"/>
        <v>142216</v>
      </c>
      <c r="G245" s="465">
        <f t="shared" si="17"/>
        <v>132288.5</v>
      </c>
      <c r="H245" s="466">
        <v>93305</v>
      </c>
      <c r="I245" s="467">
        <v>47090</v>
      </c>
      <c r="J245" s="466">
        <v>2755</v>
      </c>
      <c r="K245" s="467">
        <v>1043</v>
      </c>
      <c r="L245" s="466">
        <v>46156</v>
      </c>
      <c r="M245" s="466"/>
      <c r="N245" s="466"/>
      <c r="O245" s="467">
        <v>84155.5</v>
      </c>
      <c r="P245" s="467"/>
      <c r="Q245" s="467"/>
      <c r="R245" s="466"/>
      <c r="S245" s="467"/>
      <c r="T245" s="464">
        <f t="shared" si="18"/>
        <v>29693</v>
      </c>
      <c r="U245" s="465">
        <f t="shared" si="19"/>
        <v>34452</v>
      </c>
      <c r="V245" s="466">
        <v>8824</v>
      </c>
      <c r="W245" s="467">
        <v>7469</v>
      </c>
      <c r="X245" s="466">
        <v>4805</v>
      </c>
      <c r="Y245" s="467">
        <v>2921</v>
      </c>
      <c r="Z245" s="466">
        <v>16064</v>
      </c>
      <c r="AA245" s="466"/>
      <c r="AB245" s="466"/>
      <c r="AC245" s="467">
        <v>24062</v>
      </c>
      <c r="AD245" s="467"/>
      <c r="AE245" s="467"/>
      <c r="AF245" s="466"/>
      <c r="AG245" s="467"/>
    </row>
    <row r="246" spans="1:34">
      <c r="A246" s="435" t="s">
        <v>271</v>
      </c>
      <c r="B246" s="373" t="s">
        <v>276</v>
      </c>
      <c r="C246" s="374"/>
      <c r="D246" s="375">
        <v>175342</v>
      </c>
      <c r="E246" s="375">
        <v>4</v>
      </c>
      <c r="F246" s="464">
        <f t="shared" ref="F246:F249" si="21">SUM(H246,J246,L246,M246,N246,R246)</f>
        <v>92149</v>
      </c>
      <c r="G246" s="465">
        <f t="shared" ref="G246:G249" si="22">SUM(I246,K246,O246,P246,Q246,S246)</f>
        <v>83038</v>
      </c>
      <c r="H246" s="466">
        <v>57342</v>
      </c>
      <c r="I246" s="467">
        <v>52245</v>
      </c>
      <c r="J246" s="466">
        <v>2313</v>
      </c>
      <c r="K246" s="467">
        <v>2015</v>
      </c>
      <c r="L246" s="466">
        <v>32465</v>
      </c>
      <c r="M246" s="466"/>
      <c r="N246" s="466">
        <v>29</v>
      </c>
      <c r="O246" s="467">
        <v>28778</v>
      </c>
      <c r="P246" s="467"/>
      <c r="Q246" s="467"/>
      <c r="R246" s="466"/>
      <c r="S246" s="467"/>
      <c r="T246" s="464">
        <f t="shared" ref="T246:T249" si="23">SUM(V246,X246,Z246,AA246,AB246,AF246)</f>
        <v>7708</v>
      </c>
      <c r="U246" s="465">
        <f t="shared" ref="U246:U249" si="24">SUM(W246,Y246,AC246,AD246,AE246,AG246)</f>
        <v>7702</v>
      </c>
      <c r="V246" s="466">
        <v>1093</v>
      </c>
      <c r="W246" s="467">
        <v>1374</v>
      </c>
      <c r="X246" s="466">
        <v>324</v>
      </c>
      <c r="Y246" s="467">
        <v>95</v>
      </c>
      <c r="Z246" s="466">
        <v>6291</v>
      </c>
      <c r="AA246" s="466"/>
      <c r="AB246" s="466"/>
      <c r="AC246" s="467">
        <v>6233</v>
      </c>
      <c r="AD246" s="467"/>
      <c r="AE246" s="467"/>
      <c r="AF246" s="466"/>
      <c r="AG246" s="467"/>
    </row>
    <row r="247" spans="1:34">
      <c r="A247" s="435" t="s">
        <v>271</v>
      </c>
      <c r="B247" s="373" t="s">
        <v>277</v>
      </c>
      <c r="C247" s="374"/>
      <c r="D247" s="375">
        <v>175616</v>
      </c>
      <c r="E247" s="375">
        <v>4</v>
      </c>
      <c r="F247" s="464">
        <f t="shared" si="21"/>
        <v>73223</v>
      </c>
      <c r="G247" s="465">
        <f t="shared" si="22"/>
        <v>64119</v>
      </c>
      <c r="H247" s="466">
        <v>49459</v>
      </c>
      <c r="I247" s="467">
        <v>37105</v>
      </c>
      <c r="J247" s="466">
        <v>7184</v>
      </c>
      <c r="K247" s="467">
        <v>4816</v>
      </c>
      <c r="L247" s="466">
        <v>16577</v>
      </c>
      <c r="M247" s="466" t="s">
        <v>533</v>
      </c>
      <c r="N247" s="466">
        <v>3</v>
      </c>
      <c r="O247" s="467">
        <v>22192</v>
      </c>
      <c r="P247" s="467"/>
      <c r="Q247" s="467">
        <v>6</v>
      </c>
      <c r="R247" s="466"/>
      <c r="S247" s="467"/>
      <c r="T247" s="464">
        <f t="shared" si="23"/>
        <v>15719</v>
      </c>
      <c r="U247" s="465">
        <f t="shared" si="24"/>
        <v>16781</v>
      </c>
      <c r="V247" s="466">
        <v>2523</v>
      </c>
      <c r="W247" s="467">
        <v>1189</v>
      </c>
      <c r="X247" s="466">
        <v>9</v>
      </c>
      <c r="Y247" s="467">
        <v>18</v>
      </c>
      <c r="Z247" s="466">
        <v>13172</v>
      </c>
      <c r="AA247" s="466"/>
      <c r="AB247" s="466">
        <v>15</v>
      </c>
      <c r="AC247" s="467">
        <v>15559</v>
      </c>
      <c r="AD247" s="467"/>
      <c r="AE247" s="467">
        <v>15</v>
      </c>
      <c r="AF247" s="466"/>
      <c r="AG247" s="467"/>
    </row>
    <row r="248" spans="1:34" s="14" customFormat="1" ht="12.75" customHeight="1">
      <c r="A248" s="435" t="s">
        <v>271</v>
      </c>
      <c r="B248" s="373" t="s">
        <v>279</v>
      </c>
      <c r="C248" s="374" t="s">
        <v>719</v>
      </c>
      <c r="D248" s="375">
        <v>176035</v>
      </c>
      <c r="E248" s="436">
        <v>4</v>
      </c>
      <c r="F248" s="464">
        <f t="shared" si="21"/>
        <v>71868</v>
      </c>
      <c r="G248" s="465">
        <f t="shared" si="22"/>
        <v>71875</v>
      </c>
      <c r="H248" s="466">
        <v>31594</v>
      </c>
      <c r="I248" s="467">
        <v>21683</v>
      </c>
      <c r="J248" s="466">
        <v>86</v>
      </c>
      <c r="K248" s="467"/>
      <c r="L248" s="466">
        <v>40188</v>
      </c>
      <c r="M248" s="466"/>
      <c r="N248" s="466"/>
      <c r="O248" s="467">
        <v>50192</v>
      </c>
      <c r="P248" s="467"/>
      <c r="Q248" s="467"/>
      <c r="R248" s="466"/>
      <c r="S248" s="467"/>
      <c r="T248" s="464">
        <f t="shared" si="23"/>
        <v>4550</v>
      </c>
      <c r="U248" s="465">
        <f t="shared" si="24"/>
        <v>5547</v>
      </c>
      <c r="V248" s="466">
        <v>2435</v>
      </c>
      <c r="W248" s="467">
        <v>2043</v>
      </c>
      <c r="X248" s="466">
        <v>0</v>
      </c>
      <c r="Y248" s="467"/>
      <c r="Z248" s="466">
        <v>2115</v>
      </c>
      <c r="AA248" s="466"/>
      <c r="AB248" s="466"/>
      <c r="AC248" s="467">
        <v>3504</v>
      </c>
      <c r="AD248" s="467"/>
      <c r="AE248" s="467"/>
      <c r="AF248" s="466"/>
      <c r="AG248" s="467"/>
    </row>
    <row r="249" spans="1:34">
      <c r="A249" s="375" t="s">
        <v>271</v>
      </c>
      <c r="B249" s="373" t="s">
        <v>278</v>
      </c>
      <c r="C249" s="374"/>
      <c r="D249" s="375">
        <v>176044</v>
      </c>
      <c r="E249" s="375">
        <v>4</v>
      </c>
      <c r="F249" s="464">
        <f t="shared" si="21"/>
        <v>47617.7</v>
      </c>
      <c r="G249" s="465">
        <f t="shared" si="22"/>
        <v>44044</v>
      </c>
      <c r="H249" s="466">
        <v>33847</v>
      </c>
      <c r="I249" s="467">
        <v>27314</v>
      </c>
      <c r="J249" s="466">
        <v>146.69999999999999</v>
      </c>
      <c r="K249" s="467">
        <v>168</v>
      </c>
      <c r="L249" s="466">
        <v>12796</v>
      </c>
      <c r="M249" s="466"/>
      <c r="N249" s="466"/>
      <c r="O249" s="467">
        <v>16151</v>
      </c>
      <c r="P249" s="467"/>
      <c r="Q249" s="467"/>
      <c r="R249" s="466">
        <v>828</v>
      </c>
      <c r="S249" s="467">
        <v>411</v>
      </c>
      <c r="T249" s="464">
        <f t="shared" si="23"/>
        <v>4978</v>
      </c>
      <c r="U249" s="465">
        <f t="shared" si="24"/>
        <v>5147</v>
      </c>
      <c r="V249" s="466">
        <v>1690</v>
      </c>
      <c r="W249" s="467">
        <v>1692</v>
      </c>
      <c r="X249" s="466">
        <v>0</v>
      </c>
      <c r="Y249" s="467">
        <v>0</v>
      </c>
      <c r="Z249" s="466">
        <v>3237</v>
      </c>
      <c r="AA249" s="466"/>
      <c r="AB249" s="466"/>
      <c r="AC249" s="467">
        <v>3329</v>
      </c>
      <c r="AD249" s="467"/>
      <c r="AE249" s="467"/>
      <c r="AF249" s="466">
        <v>51</v>
      </c>
      <c r="AG249" s="467">
        <v>126</v>
      </c>
    </row>
    <row r="250" spans="1:34">
      <c r="A250" s="51" t="s">
        <v>271</v>
      </c>
      <c r="B250" s="47"/>
      <c r="C250" s="48"/>
      <c r="D250" s="52"/>
      <c r="E250" s="53"/>
      <c r="F250" s="464">
        <f t="shared" ref="F250:F272" si="25">SUM(H250,J250,L250,M250,N250,R250)</f>
        <v>0</v>
      </c>
      <c r="G250" s="465">
        <f t="shared" ref="G250:G272" si="26">SUM(I250,K250,O250,P250,Q250,S250)</f>
        <v>0</v>
      </c>
      <c r="H250" s="466"/>
      <c r="I250" s="467"/>
      <c r="J250" s="466"/>
      <c r="K250" s="467"/>
      <c r="L250" s="466"/>
      <c r="M250" s="466"/>
      <c r="N250" s="466"/>
      <c r="O250" s="467"/>
      <c r="P250" s="467"/>
      <c r="Q250" s="467"/>
      <c r="R250" s="466"/>
      <c r="S250" s="467"/>
      <c r="T250" s="464">
        <f t="shared" ref="T250:T272" si="27">SUM(V250,X250,Z250,AA250,AB250,AF250)</f>
        <v>0</v>
      </c>
      <c r="U250" s="465">
        <f t="shared" ref="U250:U272" si="28">SUM(W250,Y250,AC250,AD250,AE250,AG250)</f>
        <v>0</v>
      </c>
      <c r="V250" s="466"/>
      <c r="W250" s="467"/>
      <c r="X250" s="466"/>
      <c r="Y250" s="467"/>
      <c r="Z250" s="466"/>
      <c r="AA250" s="466"/>
      <c r="AB250" s="466"/>
      <c r="AC250" s="467"/>
      <c r="AD250" s="467"/>
      <c r="AE250" s="467"/>
      <c r="AF250" s="466"/>
      <c r="AG250" s="467"/>
    </row>
    <row r="251" spans="1:34" s="14" customFormat="1" ht="13.5" customHeight="1">
      <c r="A251" s="437" t="s">
        <v>280</v>
      </c>
      <c r="B251" s="379" t="s">
        <v>281</v>
      </c>
      <c r="C251" s="380"/>
      <c r="D251" s="381">
        <v>199193</v>
      </c>
      <c r="E251" s="381">
        <v>1</v>
      </c>
      <c r="F251" s="464">
        <f t="shared" si="25"/>
        <v>728588</v>
      </c>
      <c r="G251" s="465">
        <f t="shared" si="26"/>
        <v>748338</v>
      </c>
      <c r="H251" s="466">
        <v>601662</v>
      </c>
      <c r="I251" s="467">
        <v>376034</v>
      </c>
      <c r="J251" s="466">
        <v>11489</v>
      </c>
      <c r="K251" s="467">
        <v>5684</v>
      </c>
      <c r="L251" s="466">
        <v>115437</v>
      </c>
      <c r="M251" s="466">
        <v>0</v>
      </c>
      <c r="N251" s="466">
        <v>0</v>
      </c>
      <c r="O251" s="467">
        <v>366620</v>
      </c>
      <c r="P251" s="467">
        <v>0</v>
      </c>
      <c r="Q251" s="467">
        <v>0</v>
      </c>
      <c r="R251" s="466"/>
      <c r="S251" s="467"/>
      <c r="T251" s="464">
        <f t="shared" si="27"/>
        <v>174613.5</v>
      </c>
      <c r="U251" s="465">
        <f t="shared" si="28"/>
        <v>169350</v>
      </c>
      <c r="V251" s="466">
        <v>133319.5</v>
      </c>
      <c r="W251" s="467">
        <v>96770</v>
      </c>
      <c r="X251" s="466">
        <v>4070</v>
      </c>
      <c r="Y251" s="467">
        <v>3286</v>
      </c>
      <c r="Z251" s="466">
        <v>37224</v>
      </c>
      <c r="AA251" s="466">
        <v>0</v>
      </c>
      <c r="AB251" s="466">
        <v>0</v>
      </c>
      <c r="AC251" s="467">
        <v>69294</v>
      </c>
      <c r="AD251" s="467">
        <v>0</v>
      </c>
      <c r="AE251" s="467">
        <v>0</v>
      </c>
      <c r="AF251" s="466"/>
      <c r="AG251" s="467"/>
    </row>
    <row r="252" spans="1:34">
      <c r="A252" s="437" t="s">
        <v>280</v>
      </c>
      <c r="B252" s="379" t="s">
        <v>282</v>
      </c>
      <c r="C252" s="380"/>
      <c r="D252" s="381">
        <v>199120</v>
      </c>
      <c r="E252" s="381">
        <v>1</v>
      </c>
      <c r="F252" s="464">
        <f t="shared" si="25"/>
        <v>545593</v>
      </c>
      <c r="G252" s="465">
        <f t="shared" si="26"/>
        <v>564392</v>
      </c>
      <c r="H252" s="466">
        <v>520370.5</v>
      </c>
      <c r="I252" s="467">
        <v>246504</v>
      </c>
      <c r="J252" s="466">
        <v>5593.5</v>
      </c>
      <c r="K252" s="467">
        <v>1640</v>
      </c>
      <c r="L252" s="466">
        <v>19629</v>
      </c>
      <c r="M252" s="466">
        <v>0</v>
      </c>
      <c r="N252" s="466">
        <v>0</v>
      </c>
      <c r="O252" s="467">
        <v>316248</v>
      </c>
      <c r="P252" s="467">
        <v>0</v>
      </c>
      <c r="Q252" s="467">
        <v>0</v>
      </c>
      <c r="R252" s="466"/>
      <c r="S252" s="467"/>
      <c r="T252" s="464">
        <f t="shared" si="27"/>
        <v>197901.5</v>
      </c>
      <c r="U252" s="465">
        <f t="shared" si="28"/>
        <v>188469</v>
      </c>
      <c r="V252" s="466">
        <v>171655</v>
      </c>
      <c r="W252" s="467">
        <v>100228</v>
      </c>
      <c r="X252" s="466">
        <v>819</v>
      </c>
      <c r="Y252" s="467">
        <v>1170</v>
      </c>
      <c r="Z252" s="466">
        <v>25391.5</v>
      </c>
      <c r="AA252" s="466">
        <v>36</v>
      </c>
      <c r="AB252" s="466">
        <v>0</v>
      </c>
      <c r="AC252" s="467">
        <v>87026</v>
      </c>
      <c r="AD252" s="467">
        <v>45</v>
      </c>
      <c r="AE252" s="467">
        <v>0</v>
      </c>
      <c r="AF252" s="466"/>
      <c r="AG252" s="467"/>
    </row>
    <row r="253" spans="1:34">
      <c r="A253" s="437" t="s">
        <v>280</v>
      </c>
      <c r="B253" s="379" t="s">
        <v>283</v>
      </c>
      <c r="C253" s="382"/>
      <c r="D253" s="381">
        <v>199139</v>
      </c>
      <c r="E253" s="381">
        <v>1</v>
      </c>
      <c r="F253" s="464">
        <f t="shared" si="25"/>
        <v>682569</v>
      </c>
      <c r="G253" s="465">
        <f t="shared" si="26"/>
        <v>690594</v>
      </c>
      <c r="H253" s="466">
        <v>582198</v>
      </c>
      <c r="I253" s="467">
        <v>337138</v>
      </c>
      <c r="J253" s="466">
        <v>0</v>
      </c>
      <c r="K253" s="467"/>
      <c r="L253" s="466">
        <v>100244</v>
      </c>
      <c r="M253" s="466">
        <v>127</v>
      </c>
      <c r="N253" s="466">
        <v>0</v>
      </c>
      <c r="O253" s="467">
        <v>353388</v>
      </c>
      <c r="P253" s="467">
        <v>68</v>
      </c>
      <c r="Q253" s="467">
        <v>0</v>
      </c>
      <c r="R253" s="466"/>
      <c r="S253" s="467"/>
      <c r="T253" s="464">
        <f t="shared" si="27"/>
        <v>87196</v>
      </c>
      <c r="U253" s="465">
        <f t="shared" si="28"/>
        <v>93922</v>
      </c>
      <c r="V253" s="466">
        <v>66366</v>
      </c>
      <c r="W253" s="467">
        <v>43605</v>
      </c>
      <c r="X253" s="466">
        <v>0</v>
      </c>
      <c r="Y253" s="467">
        <v>0</v>
      </c>
      <c r="Z253" s="466">
        <v>20814</v>
      </c>
      <c r="AA253" s="466">
        <v>16</v>
      </c>
      <c r="AB253" s="466">
        <v>0</v>
      </c>
      <c r="AC253" s="467">
        <v>50299</v>
      </c>
      <c r="AD253" s="467">
        <v>18</v>
      </c>
      <c r="AE253" s="467">
        <v>0</v>
      </c>
      <c r="AF253" s="466"/>
      <c r="AG253" s="467"/>
    </row>
    <row r="254" spans="1:34">
      <c r="A254" s="437" t="s">
        <v>280</v>
      </c>
      <c r="B254" s="379" t="s">
        <v>284</v>
      </c>
      <c r="C254" s="380"/>
      <c r="D254" s="381">
        <v>199148</v>
      </c>
      <c r="E254" s="381">
        <v>1</v>
      </c>
      <c r="F254" s="464">
        <f t="shared" si="25"/>
        <v>461447</v>
      </c>
      <c r="G254" s="465">
        <f t="shared" si="26"/>
        <v>451281</v>
      </c>
      <c r="H254" s="466">
        <v>330797</v>
      </c>
      <c r="I254" s="467">
        <v>219440</v>
      </c>
      <c r="J254" s="466">
        <v>3788</v>
      </c>
      <c r="K254" s="467">
        <v>1265</v>
      </c>
      <c r="L254" s="466">
        <v>126862</v>
      </c>
      <c r="M254" s="466">
        <v>0</v>
      </c>
      <c r="N254" s="466">
        <v>0</v>
      </c>
      <c r="O254" s="467">
        <v>230576</v>
      </c>
      <c r="P254" s="467">
        <v>0</v>
      </c>
      <c r="Q254" s="467">
        <v>0</v>
      </c>
      <c r="R254" s="466"/>
      <c r="S254" s="467"/>
      <c r="T254" s="464">
        <f t="shared" si="27"/>
        <v>61041.5</v>
      </c>
      <c r="U254" s="465">
        <f t="shared" si="28"/>
        <v>61324</v>
      </c>
      <c r="V254" s="466">
        <v>37026.5</v>
      </c>
      <c r="W254" s="467">
        <v>26409</v>
      </c>
      <c r="X254" s="466">
        <v>3483</v>
      </c>
      <c r="Y254" s="467">
        <v>3398</v>
      </c>
      <c r="Z254" s="466">
        <v>20528</v>
      </c>
      <c r="AA254" s="466">
        <v>4</v>
      </c>
      <c r="AB254" s="466">
        <v>0</v>
      </c>
      <c r="AC254" s="467">
        <v>31517</v>
      </c>
      <c r="AD254" s="467">
        <v>0</v>
      </c>
      <c r="AE254" s="467">
        <v>0</v>
      </c>
      <c r="AF254" s="466"/>
      <c r="AG254" s="467"/>
    </row>
    <row r="255" spans="1:34">
      <c r="A255" s="437" t="s">
        <v>280</v>
      </c>
      <c r="B255" s="379" t="s">
        <v>285</v>
      </c>
      <c r="C255" s="382"/>
      <c r="D255" s="381">
        <v>198464</v>
      </c>
      <c r="E255" s="381">
        <v>2</v>
      </c>
      <c r="F255" s="464">
        <f t="shared" si="25"/>
        <v>641242</v>
      </c>
      <c r="G255" s="465">
        <f t="shared" si="26"/>
        <v>633192</v>
      </c>
      <c r="H255" s="466">
        <v>486716</v>
      </c>
      <c r="I255" s="467">
        <v>307281</v>
      </c>
      <c r="J255" s="466">
        <v>5587</v>
      </c>
      <c r="K255" s="467">
        <v>2174</v>
      </c>
      <c r="L255" s="466">
        <v>148140</v>
      </c>
      <c r="M255" s="466">
        <v>799</v>
      </c>
      <c r="N255" s="466">
        <v>0</v>
      </c>
      <c r="O255" s="467">
        <v>323262</v>
      </c>
      <c r="P255" s="467">
        <v>475</v>
      </c>
      <c r="Q255" s="467">
        <v>0</v>
      </c>
      <c r="R255" s="466"/>
      <c r="S255" s="467"/>
      <c r="T255" s="464">
        <f t="shared" si="27"/>
        <v>87185</v>
      </c>
      <c r="U255" s="465">
        <f t="shared" si="28"/>
        <v>89463</v>
      </c>
      <c r="V255" s="466">
        <v>31719</v>
      </c>
      <c r="W255" s="467">
        <v>23925</v>
      </c>
      <c r="X255" s="466">
        <v>1264</v>
      </c>
      <c r="Y255" s="467">
        <v>684</v>
      </c>
      <c r="Z255" s="466">
        <v>54178</v>
      </c>
      <c r="AA255" s="466">
        <v>24</v>
      </c>
      <c r="AB255" s="466">
        <v>0</v>
      </c>
      <c r="AC255" s="467">
        <v>64796</v>
      </c>
      <c r="AD255" s="467">
        <v>58</v>
      </c>
      <c r="AE255" s="467">
        <v>0</v>
      </c>
      <c r="AF255" s="466"/>
      <c r="AG255" s="467"/>
    </row>
    <row r="256" spans="1:34">
      <c r="A256" s="437" t="s">
        <v>280</v>
      </c>
      <c r="B256" s="379" t="s">
        <v>286</v>
      </c>
      <c r="C256" s="380"/>
      <c r="D256" s="381">
        <v>197869</v>
      </c>
      <c r="E256" s="381">
        <v>3</v>
      </c>
      <c r="F256" s="464">
        <f t="shared" si="25"/>
        <v>527992</v>
      </c>
      <c r="G256" s="465">
        <f t="shared" si="26"/>
        <v>538447</v>
      </c>
      <c r="H256" s="466">
        <v>469508</v>
      </c>
      <c r="I256" s="467">
        <v>242152</v>
      </c>
      <c r="J256" s="466">
        <v>3194</v>
      </c>
      <c r="K256" s="467">
        <v>2095</v>
      </c>
      <c r="L256" s="466">
        <v>55290</v>
      </c>
      <c r="M256" s="466">
        <v>0</v>
      </c>
      <c r="N256" s="466">
        <v>0</v>
      </c>
      <c r="O256" s="467">
        <v>294200</v>
      </c>
      <c r="P256" s="467">
        <v>0</v>
      </c>
      <c r="Q256" s="467">
        <v>0</v>
      </c>
      <c r="R256" s="466"/>
      <c r="S256" s="467"/>
      <c r="T256" s="464">
        <f t="shared" si="27"/>
        <v>33977</v>
      </c>
      <c r="U256" s="465">
        <f t="shared" si="28"/>
        <v>35903</v>
      </c>
      <c r="V256" s="466">
        <v>21511</v>
      </c>
      <c r="W256" s="467">
        <v>12438</v>
      </c>
      <c r="X256" s="466">
        <v>1391</v>
      </c>
      <c r="Y256" s="467">
        <v>602</v>
      </c>
      <c r="Z256" s="466">
        <v>11075</v>
      </c>
      <c r="AA256" s="466">
        <v>0</v>
      </c>
      <c r="AB256" s="466">
        <v>0</v>
      </c>
      <c r="AC256" s="467">
        <v>22863</v>
      </c>
      <c r="AD256" s="467">
        <v>0</v>
      </c>
      <c r="AE256" s="467">
        <v>0</v>
      </c>
      <c r="AF256" s="466"/>
      <c r="AG256" s="467"/>
    </row>
    <row r="257" spans="1:33">
      <c r="A257" s="437" t="s">
        <v>280</v>
      </c>
      <c r="B257" s="379" t="s">
        <v>287</v>
      </c>
      <c r="C257" s="456" t="s">
        <v>914</v>
      </c>
      <c r="D257" s="381">
        <v>199102</v>
      </c>
      <c r="E257" s="381">
        <v>3</v>
      </c>
      <c r="F257" s="464">
        <f t="shared" si="25"/>
        <v>310172</v>
      </c>
      <c r="G257" s="465">
        <f t="shared" si="26"/>
        <v>318801</v>
      </c>
      <c r="H257" s="466">
        <v>264181</v>
      </c>
      <c r="I257" s="467">
        <v>170801</v>
      </c>
      <c r="J257" s="466">
        <v>286</v>
      </c>
      <c r="K257" s="467">
        <v>106</v>
      </c>
      <c r="L257" s="466">
        <v>45705</v>
      </c>
      <c r="M257" s="466">
        <v>0</v>
      </c>
      <c r="N257" s="466">
        <v>0</v>
      </c>
      <c r="O257" s="467">
        <v>147894</v>
      </c>
      <c r="P257" s="467">
        <v>0</v>
      </c>
      <c r="Q257" s="467">
        <v>0</v>
      </c>
      <c r="R257" s="466"/>
      <c r="S257" s="467"/>
      <c r="T257" s="464">
        <f t="shared" si="27"/>
        <v>25042</v>
      </c>
      <c r="U257" s="465">
        <f t="shared" si="28"/>
        <v>26078</v>
      </c>
      <c r="V257" s="466">
        <v>15932</v>
      </c>
      <c r="W257" s="467">
        <v>11425</v>
      </c>
      <c r="X257" s="466">
        <v>1081</v>
      </c>
      <c r="Y257" s="467">
        <v>384</v>
      </c>
      <c r="Z257" s="466">
        <v>8029</v>
      </c>
      <c r="AA257" s="466">
        <v>0</v>
      </c>
      <c r="AB257" s="466">
        <v>0</v>
      </c>
      <c r="AC257" s="467">
        <v>14269</v>
      </c>
      <c r="AD257" s="467">
        <v>0</v>
      </c>
      <c r="AE257" s="467">
        <v>0</v>
      </c>
      <c r="AF257" s="466"/>
      <c r="AG257" s="467"/>
    </row>
    <row r="258" spans="1:33">
      <c r="A258" s="437" t="s">
        <v>280</v>
      </c>
      <c r="B258" s="379" t="s">
        <v>288</v>
      </c>
      <c r="C258" s="380"/>
      <c r="D258" s="381">
        <v>199157</v>
      </c>
      <c r="E258" s="381">
        <v>3</v>
      </c>
      <c r="F258" s="464">
        <f t="shared" si="25"/>
        <v>174006</v>
      </c>
      <c r="G258" s="465">
        <f t="shared" si="26"/>
        <v>167214</v>
      </c>
      <c r="H258" s="466">
        <v>131580.5</v>
      </c>
      <c r="I258" s="467">
        <v>72208</v>
      </c>
      <c r="J258" s="466">
        <v>271.5</v>
      </c>
      <c r="K258" s="467">
        <v>41557</v>
      </c>
      <c r="L258" s="466">
        <v>42154</v>
      </c>
      <c r="M258" s="466">
        <v>0</v>
      </c>
      <c r="N258" s="466">
        <v>0</v>
      </c>
      <c r="O258" s="467">
        <v>53449</v>
      </c>
      <c r="P258" s="467">
        <v>0</v>
      </c>
      <c r="Q258" s="467">
        <v>0</v>
      </c>
      <c r="R258" s="466"/>
      <c r="S258" s="467"/>
      <c r="T258" s="464">
        <f t="shared" si="27"/>
        <v>38432.5</v>
      </c>
      <c r="U258" s="465">
        <f t="shared" si="28"/>
        <v>40293</v>
      </c>
      <c r="V258" s="466">
        <v>25762.5</v>
      </c>
      <c r="W258" s="467">
        <v>13806</v>
      </c>
      <c r="X258" s="466">
        <v>20</v>
      </c>
      <c r="Y258" s="467">
        <v>9167</v>
      </c>
      <c r="Z258" s="466">
        <v>12650</v>
      </c>
      <c r="AA258" s="466">
        <v>0</v>
      </c>
      <c r="AB258" s="466">
        <v>0</v>
      </c>
      <c r="AC258" s="467">
        <v>17320</v>
      </c>
      <c r="AD258" s="467">
        <v>0</v>
      </c>
      <c r="AE258" s="467">
        <v>0</v>
      </c>
      <c r="AF258" s="466"/>
      <c r="AG258" s="467"/>
    </row>
    <row r="259" spans="1:33">
      <c r="A259" s="437" t="s">
        <v>280</v>
      </c>
      <c r="B259" s="379" t="s">
        <v>289</v>
      </c>
      <c r="C259" s="380"/>
      <c r="D259" s="381">
        <v>199218</v>
      </c>
      <c r="E259" s="381">
        <v>3</v>
      </c>
      <c r="F259" s="464">
        <f t="shared" si="25"/>
        <v>414692.5</v>
      </c>
      <c r="G259" s="465">
        <f t="shared" si="26"/>
        <v>420032</v>
      </c>
      <c r="H259" s="466">
        <v>298967.5</v>
      </c>
      <c r="I259" s="467">
        <v>159299</v>
      </c>
      <c r="J259" s="466">
        <v>6323</v>
      </c>
      <c r="K259" s="467">
        <v>4960</v>
      </c>
      <c r="L259" s="466">
        <v>109291</v>
      </c>
      <c r="M259" s="466">
        <v>111</v>
      </c>
      <c r="N259" s="466">
        <v>0</v>
      </c>
      <c r="O259" s="467">
        <v>255620</v>
      </c>
      <c r="P259" s="467">
        <v>153</v>
      </c>
      <c r="Q259" s="467">
        <v>0</v>
      </c>
      <c r="R259" s="466"/>
      <c r="S259" s="467"/>
      <c r="T259" s="464">
        <f t="shared" si="27"/>
        <v>43696.5</v>
      </c>
      <c r="U259" s="465">
        <f t="shared" si="28"/>
        <v>53183</v>
      </c>
      <c r="V259" s="466">
        <v>15973.5</v>
      </c>
      <c r="W259" s="467">
        <v>9580</v>
      </c>
      <c r="X259" s="466">
        <v>843</v>
      </c>
      <c r="Y259" s="467">
        <v>944</v>
      </c>
      <c r="Z259" s="466">
        <v>26880</v>
      </c>
      <c r="AA259" s="466">
        <v>0</v>
      </c>
      <c r="AB259" s="466">
        <v>0</v>
      </c>
      <c r="AC259" s="467">
        <v>42659</v>
      </c>
      <c r="AD259" s="467">
        <v>0</v>
      </c>
      <c r="AE259" s="467">
        <v>0</v>
      </c>
      <c r="AF259" s="466"/>
      <c r="AG259" s="467"/>
    </row>
    <row r="260" spans="1:33">
      <c r="A260" s="437" t="s">
        <v>280</v>
      </c>
      <c r="B260" s="379" t="s">
        <v>290</v>
      </c>
      <c r="C260" s="380"/>
      <c r="D260" s="381">
        <v>200004</v>
      </c>
      <c r="E260" s="381">
        <v>3</v>
      </c>
      <c r="F260" s="464">
        <f t="shared" si="25"/>
        <v>288700</v>
      </c>
      <c r="G260" s="465">
        <f t="shared" si="26"/>
        <v>289054</v>
      </c>
      <c r="H260" s="466">
        <v>229718</v>
      </c>
      <c r="I260" s="467">
        <v>136957</v>
      </c>
      <c r="J260" s="466">
        <v>3122</v>
      </c>
      <c r="K260" s="467">
        <v>978</v>
      </c>
      <c r="L260" s="466">
        <v>55854</v>
      </c>
      <c r="M260" s="466">
        <v>6</v>
      </c>
      <c r="N260" s="466">
        <v>0</v>
      </c>
      <c r="O260" s="467">
        <v>151113</v>
      </c>
      <c r="P260" s="467">
        <v>6</v>
      </c>
      <c r="Q260" s="467">
        <v>0</v>
      </c>
      <c r="R260" s="466"/>
      <c r="S260" s="467"/>
      <c r="T260" s="464">
        <f t="shared" si="27"/>
        <v>32672</v>
      </c>
      <c r="U260" s="465">
        <f t="shared" si="28"/>
        <v>33839</v>
      </c>
      <c r="V260" s="466">
        <v>10779</v>
      </c>
      <c r="W260" s="467">
        <v>7432</v>
      </c>
      <c r="X260" s="466">
        <v>7814</v>
      </c>
      <c r="Y260" s="467">
        <v>4898</v>
      </c>
      <c r="Z260" s="466">
        <v>14079</v>
      </c>
      <c r="AA260" s="466">
        <v>0</v>
      </c>
      <c r="AB260" s="466">
        <v>0</v>
      </c>
      <c r="AC260" s="467">
        <v>21509</v>
      </c>
      <c r="AD260" s="467">
        <v>0</v>
      </c>
      <c r="AE260" s="467">
        <v>0</v>
      </c>
      <c r="AF260" s="466"/>
      <c r="AG260" s="467"/>
    </row>
    <row r="261" spans="1:33">
      <c r="A261" s="437" t="s">
        <v>280</v>
      </c>
      <c r="B261" s="379" t="s">
        <v>291</v>
      </c>
      <c r="C261" s="380"/>
      <c r="D261" s="381">
        <v>198543</v>
      </c>
      <c r="E261" s="381">
        <v>4</v>
      </c>
      <c r="F261" s="464">
        <f t="shared" si="25"/>
        <v>150115</v>
      </c>
      <c r="G261" s="465">
        <f t="shared" si="26"/>
        <v>150073</v>
      </c>
      <c r="H261" s="466">
        <v>82139</v>
      </c>
      <c r="I261" s="467">
        <v>55535</v>
      </c>
      <c r="J261" s="466">
        <v>487</v>
      </c>
      <c r="K261" s="467">
        <v>220</v>
      </c>
      <c r="L261" s="466">
        <v>67489</v>
      </c>
      <c r="M261" s="466">
        <v>0</v>
      </c>
      <c r="N261" s="466">
        <v>0</v>
      </c>
      <c r="O261" s="467">
        <v>94288</v>
      </c>
      <c r="P261" s="467">
        <v>30</v>
      </c>
      <c r="Q261" s="467">
        <v>0</v>
      </c>
      <c r="R261" s="466"/>
      <c r="S261" s="467"/>
      <c r="T261" s="464">
        <f t="shared" si="27"/>
        <v>14338</v>
      </c>
      <c r="U261" s="465">
        <f t="shared" si="28"/>
        <v>17585</v>
      </c>
      <c r="V261" s="466">
        <v>4773</v>
      </c>
      <c r="W261" s="467">
        <v>3850</v>
      </c>
      <c r="X261" s="466">
        <v>0</v>
      </c>
      <c r="Y261" s="467">
        <v>0</v>
      </c>
      <c r="Z261" s="466">
        <v>9565</v>
      </c>
      <c r="AA261" s="466">
        <v>0</v>
      </c>
      <c r="AB261" s="466">
        <v>0</v>
      </c>
      <c r="AC261" s="467">
        <v>13732</v>
      </c>
      <c r="AD261" s="467">
        <v>3</v>
      </c>
      <c r="AE261" s="467">
        <v>0</v>
      </c>
      <c r="AF261" s="466"/>
      <c r="AG261" s="467"/>
    </row>
    <row r="262" spans="1:33">
      <c r="A262" s="437" t="s">
        <v>280</v>
      </c>
      <c r="B262" s="379" t="s">
        <v>292</v>
      </c>
      <c r="C262" s="380"/>
      <c r="D262" s="381">
        <v>199281</v>
      </c>
      <c r="E262" s="381">
        <v>5</v>
      </c>
      <c r="F262" s="464">
        <f t="shared" si="25"/>
        <v>170420</v>
      </c>
      <c r="G262" s="465">
        <f t="shared" si="26"/>
        <v>173315</v>
      </c>
      <c r="H262" s="466">
        <v>111719</v>
      </c>
      <c r="I262" s="467">
        <v>80625</v>
      </c>
      <c r="J262" s="466">
        <v>1245</v>
      </c>
      <c r="K262" s="467">
        <v>849</v>
      </c>
      <c r="L262" s="466">
        <v>57279</v>
      </c>
      <c r="M262" s="466">
        <v>177</v>
      </c>
      <c r="N262" s="466">
        <v>0</v>
      </c>
      <c r="O262" s="467">
        <v>91819</v>
      </c>
      <c r="P262" s="467">
        <v>22</v>
      </c>
      <c r="Q262" s="467">
        <v>0</v>
      </c>
      <c r="R262" s="466"/>
      <c r="S262" s="467"/>
      <c r="T262" s="464">
        <f t="shared" si="27"/>
        <v>22171</v>
      </c>
      <c r="U262" s="465">
        <f t="shared" si="28"/>
        <v>29760</v>
      </c>
      <c r="V262" s="466">
        <v>5067</v>
      </c>
      <c r="W262" s="467">
        <v>2882</v>
      </c>
      <c r="X262" s="466">
        <v>984</v>
      </c>
      <c r="Y262" s="467">
        <v>504</v>
      </c>
      <c r="Z262" s="466">
        <v>16087</v>
      </c>
      <c r="AA262" s="466">
        <v>33</v>
      </c>
      <c r="AB262" s="466">
        <v>0</v>
      </c>
      <c r="AC262" s="467">
        <v>26371</v>
      </c>
      <c r="AD262" s="467">
        <v>3</v>
      </c>
      <c r="AE262" s="467">
        <v>0</v>
      </c>
      <c r="AF262" s="466"/>
      <c r="AG262" s="467"/>
    </row>
    <row r="263" spans="1:33">
      <c r="A263" s="437" t="s">
        <v>280</v>
      </c>
      <c r="B263" s="379" t="s">
        <v>293</v>
      </c>
      <c r="C263" s="380"/>
      <c r="D263" s="381">
        <v>199999</v>
      </c>
      <c r="E263" s="381">
        <v>5</v>
      </c>
      <c r="F263" s="464">
        <f t="shared" si="25"/>
        <v>132430</v>
      </c>
      <c r="G263" s="465">
        <f t="shared" si="26"/>
        <v>134521</v>
      </c>
      <c r="H263" s="466">
        <v>101340</v>
      </c>
      <c r="I263" s="467">
        <v>64587</v>
      </c>
      <c r="J263" s="466">
        <v>6</v>
      </c>
      <c r="K263" s="467">
        <v>115</v>
      </c>
      <c r="L263" s="466">
        <v>22317</v>
      </c>
      <c r="M263" s="466">
        <v>0</v>
      </c>
      <c r="N263" s="466">
        <v>8767</v>
      </c>
      <c r="O263" s="467">
        <v>63898</v>
      </c>
      <c r="P263" s="467">
        <v>0</v>
      </c>
      <c r="Q263" s="467">
        <v>5921</v>
      </c>
      <c r="R263" s="466"/>
      <c r="S263" s="467"/>
      <c r="T263" s="464">
        <f t="shared" si="27"/>
        <v>11013</v>
      </c>
      <c r="U263" s="465">
        <f t="shared" si="28"/>
        <v>10880</v>
      </c>
      <c r="V263" s="466">
        <v>6336</v>
      </c>
      <c r="W263" s="467">
        <v>3757</v>
      </c>
      <c r="X263" s="466">
        <v>87</v>
      </c>
      <c r="Y263" s="467">
        <v>168</v>
      </c>
      <c r="Z263" s="466">
        <v>3106</v>
      </c>
      <c r="AA263" s="466">
        <v>0</v>
      </c>
      <c r="AB263" s="466">
        <v>1484</v>
      </c>
      <c r="AC263" s="467">
        <v>5907</v>
      </c>
      <c r="AD263" s="467">
        <v>0</v>
      </c>
      <c r="AE263" s="467">
        <v>1048</v>
      </c>
      <c r="AF263" s="466"/>
      <c r="AG263" s="467"/>
    </row>
    <row r="264" spans="1:33">
      <c r="A264" s="437" t="s">
        <v>280</v>
      </c>
      <c r="B264" s="379" t="s">
        <v>294</v>
      </c>
      <c r="C264" s="380"/>
      <c r="D264" s="381">
        <v>198507</v>
      </c>
      <c r="E264" s="381">
        <v>6</v>
      </c>
      <c r="F264" s="464">
        <f t="shared" si="25"/>
        <v>46357</v>
      </c>
      <c r="G264" s="465">
        <f t="shared" si="26"/>
        <v>50671</v>
      </c>
      <c r="H264" s="466">
        <v>36646</v>
      </c>
      <c r="I264" s="467">
        <v>28209</v>
      </c>
      <c r="J264" s="466">
        <v>172</v>
      </c>
      <c r="K264" s="467">
        <v>196</v>
      </c>
      <c r="L264" s="466">
        <v>9401</v>
      </c>
      <c r="M264" s="466">
        <v>138</v>
      </c>
      <c r="N264" s="466">
        <v>0</v>
      </c>
      <c r="O264" s="467">
        <v>22152</v>
      </c>
      <c r="P264" s="467">
        <v>114</v>
      </c>
      <c r="Q264" s="467">
        <v>0</v>
      </c>
      <c r="R264" s="466"/>
      <c r="S264" s="467"/>
      <c r="T264" s="464">
        <f t="shared" si="27"/>
        <v>1228</v>
      </c>
      <c r="U264" s="465">
        <f t="shared" si="28"/>
        <v>1578</v>
      </c>
      <c r="V264" s="466">
        <v>399</v>
      </c>
      <c r="W264" s="467">
        <v>470</v>
      </c>
      <c r="X264" s="466">
        <v>0</v>
      </c>
      <c r="Y264" s="467">
        <v>0</v>
      </c>
      <c r="Z264" s="466">
        <v>829</v>
      </c>
      <c r="AA264" s="466">
        <v>0</v>
      </c>
      <c r="AB264" s="466">
        <v>0</v>
      </c>
      <c r="AC264" s="467">
        <v>1108</v>
      </c>
      <c r="AD264" s="467">
        <v>0</v>
      </c>
      <c r="AE264" s="467">
        <v>0</v>
      </c>
      <c r="AF264" s="466"/>
      <c r="AG264" s="467"/>
    </row>
    <row r="265" spans="1:33">
      <c r="A265" s="437" t="s">
        <v>280</v>
      </c>
      <c r="B265" s="379" t="s">
        <v>295</v>
      </c>
      <c r="C265" s="380"/>
      <c r="D265" s="381">
        <v>199111</v>
      </c>
      <c r="E265" s="381">
        <v>6</v>
      </c>
      <c r="F265" s="464">
        <f t="shared" si="25"/>
        <v>98978</v>
      </c>
      <c r="G265" s="465">
        <f t="shared" si="26"/>
        <v>96139</v>
      </c>
      <c r="H265" s="466">
        <v>94924</v>
      </c>
      <c r="I265" s="467">
        <v>66128</v>
      </c>
      <c r="J265" s="466">
        <v>773</v>
      </c>
      <c r="K265" s="467">
        <v>343</v>
      </c>
      <c r="L265" s="466">
        <v>1050</v>
      </c>
      <c r="M265" s="466">
        <v>2231</v>
      </c>
      <c r="N265" s="466">
        <v>0</v>
      </c>
      <c r="O265" s="467">
        <v>27613</v>
      </c>
      <c r="P265" s="467">
        <v>2055</v>
      </c>
      <c r="Q265" s="467">
        <v>0</v>
      </c>
      <c r="R265" s="466"/>
      <c r="S265" s="467"/>
      <c r="T265" s="464">
        <f t="shared" si="27"/>
        <v>213</v>
      </c>
      <c r="U265" s="465">
        <f t="shared" si="28"/>
        <v>81</v>
      </c>
      <c r="V265" s="466">
        <v>213</v>
      </c>
      <c r="W265" s="467">
        <v>69</v>
      </c>
      <c r="X265" s="466">
        <v>0</v>
      </c>
      <c r="Y265" s="467">
        <v>0</v>
      </c>
      <c r="Z265" s="466">
        <v>0</v>
      </c>
      <c r="AA265" s="466">
        <v>0</v>
      </c>
      <c r="AB265" s="466">
        <v>0</v>
      </c>
      <c r="AC265" s="467">
        <v>12</v>
      </c>
      <c r="AD265" s="467">
        <v>0</v>
      </c>
      <c r="AE265" s="467">
        <v>0</v>
      </c>
      <c r="AF265" s="466"/>
      <c r="AG265" s="467"/>
    </row>
    <row r="266" spans="1:33">
      <c r="A266" s="437" t="s">
        <v>280</v>
      </c>
      <c r="B266" s="379" t="s">
        <v>714</v>
      </c>
      <c r="C266" s="380"/>
      <c r="D266" s="381">
        <v>199184</v>
      </c>
      <c r="E266" s="381">
        <v>15</v>
      </c>
      <c r="F266" s="464">
        <f t="shared" si="25"/>
        <v>27437</v>
      </c>
      <c r="G266" s="465">
        <f t="shared" si="26"/>
        <v>26718</v>
      </c>
      <c r="H266" s="466">
        <v>26729</v>
      </c>
      <c r="I266" s="467">
        <v>21601</v>
      </c>
      <c r="J266" s="466">
        <v>0</v>
      </c>
      <c r="K266" s="467"/>
      <c r="L266" s="466">
        <v>708</v>
      </c>
      <c r="M266" s="466">
        <v>0</v>
      </c>
      <c r="N266" s="466">
        <v>0</v>
      </c>
      <c r="O266" s="467">
        <v>5117</v>
      </c>
      <c r="P266" s="467">
        <v>0</v>
      </c>
      <c r="Q266" s="467">
        <v>0</v>
      </c>
      <c r="R266" s="466"/>
      <c r="S266" s="467"/>
      <c r="T266" s="464">
        <f t="shared" si="27"/>
        <v>3822</v>
      </c>
      <c r="U266" s="465">
        <f t="shared" si="28"/>
        <v>3672</v>
      </c>
      <c r="V266" s="466">
        <v>3810</v>
      </c>
      <c r="W266" s="467">
        <v>3222</v>
      </c>
      <c r="X266" s="466">
        <v>0</v>
      </c>
      <c r="Y266" s="467">
        <v>0</v>
      </c>
      <c r="Z266" s="466">
        <v>12</v>
      </c>
      <c r="AA266" s="466">
        <v>0</v>
      </c>
      <c r="AB266" s="466">
        <v>0</v>
      </c>
      <c r="AC266" s="467">
        <v>450</v>
      </c>
      <c r="AD266" s="467">
        <v>0</v>
      </c>
      <c r="AE266" s="467">
        <v>0</v>
      </c>
      <c r="AF266" s="466"/>
      <c r="AG266" s="467"/>
    </row>
    <row r="267" spans="1:33" customFormat="1" ht="15.75" customHeight="1">
      <c r="A267" s="424" t="s">
        <v>280</v>
      </c>
      <c r="B267" s="355" t="s">
        <v>297</v>
      </c>
      <c r="C267" s="356"/>
      <c r="D267" s="358">
        <v>197887</v>
      </c>
      <c r="E267" s="358">
        <v>8</v>
      </c>
      <c r="F267" s="464">
        <f t="shared" si="25"/>
        <v>130252</v>
      </c>
      <c r="G267" s="465">
        <f t="shared" si="26"/>
        <v>125776</v>
      </c>
      <c r="H267" s="466">
        <v>71398</v>
      </c>
      <c r="I267" s="478">
        <v>60878</v>
      </c>
      <c r="J267" s="466">
        <v>11798</v>
      </c>
      <c r="K267" s="478">
        <v>8244</v>
      </c>
      <c r="L267" s="466">
        <v>46950</v>
      </c>
      <c r="M267" s="466">
        <v>106</v>
      </c>
      <c r="N267" s="466">
        <v>0</v>
      </c>
      <c r="O267" s="478">
        <v>56654</v>
      </c>
      <c r="P267" s="479">
        <v>0</v>
      </c>
      <c r="Q267" s="467">
        <v>0</v>
      </c>
      <c r="R267" s="466"/>
      <c r="S267" s="467"/>
      <c r="T267" s="464">
        <f t="shared" si="27"/>
        <v>0</v>
      </c>
      <c r="U267" s="465">
        <f t="shared" si="28"/>
        <v>0</v>
      </c>
      <c r="V267" s="466"/>
      <c r="W267" s="467"/>
      <c r="X267" s="466"/>
      <c r="Y267" s="467"/>
      <c r="Z267" s="466"/>
      <c r="AA267" s="466"/>
      <c r="AB267" s="466"/>
      <c r="AC267" s="467"/>
      <c r="AD267" s="467"/>
      <c r="AE267" s="467"/>
      <c r="AF267" s="466"/>
      <c r="AG267" s="467"/>
    </row>
    <row r="268" spans="1:33" customFormat="1" ht="15" customHeight="1">
      <c r="A268" s="424" t="s">
        <v>280</v>
      </c>
      <c r="B268" s="355" t="s">
        <v>303</v>
      </c>
      <c r="C268" s="356"/>
      <c r="D268" s="358">
        <v>198154</v>
      </c>
      <c r="E268" s="358">
        <v>8</v>
      </c>
      <c r="F268" s="464">
        <f t="shared" si="25"/>
        <v>180199</v>
      </c>
      <c r="G268" s="465">
        <f t="shared" si="26"/>
        <v>189160.5</v>
      </c>
      <c r="H268" s="466">
        <v>109834</v>
      </c>
      <c r="I268" s="478">
        <v>76476.5</v>
      </c>
      <c r="J268" s="466">
        <v>1058</v>
      </c>
      <c r="K268" s="480">
        <v>2735</v>
      </c>
      <c r="L268" s="466">
        <v>69307</v>
      </c>
      <c r="M268" s="466">
        <v>0</v>
      </c>
      <c r="N268" s="466">
        <v>0</v>
      </c>
      <c r="O268" s="481">
        <v>109949</v>
      </c>
      <c r="P268" s="467">
        <v>0</v>
      </c>
      <c r="Q268" s="467">
        <v>0</v>
      </c>
      <c r="R268" s="466"/>
      <c r="S268" s="467"/>
      <c r="T268" s="464">
        <f t="shared" si="27"/>
        <v>0</v>
      </c>
      <c r="U268" s="465">
        <f t="shared" si="28"/>
        <v>0</v>
      </c>
      <c r="V268" s="466"/>
      <c r="W268" s="467"/>
      <c r="X268" s="466"/>
      <c r="Y268" s="467"/>
      <c r="Z268" s="466"/>
      <c r="AA268" s="466"/>
      <c r="AB268" s="466"/>
      <c r="AC268" s="467"/>
      <c r="AD268" s="467"/>
      <c r="AE268" s="467"/>
      <c r="AF268" s="466"/>
      <c r="AG268" s="467"/>
    </row>
    <row r="269" spans="1:33" customFormat="1" ht="15" customHeight="1">
      <c r="A269" s="424" t="s">
        <v>280</v>
      </c>
      <c r="B269" s="355" t="s">
        <v>307</v>
      </c>
      <c r="C269" s="356"/>
      <c r="D269" s="358">
        <v>198260</v>
      </c>
      <c r="E269" s="358">
        <v>8</v>
      </c>
      <c r="F269" s="464">
        <f t="shared" si="25"/>
        <v>394333.5</v>
      </c>
      <c r="G269" s="465">
        <f t="shared" si="26"/>
        <v>383116.5</v>
      </c>
      <c r="H269" s="466">
        <v>233449.5</v>
      </c>
      <c r="I269" s="478">
        <v>122853.5</v>
      </c>
      <c r="J269" s="466">
        <v>8849</v>
      </c>
      <c r="K269" s="481">
        <v>3393</v>
      </c>
      <c r="L269" s="466">
        <v>152035</v>
      </c>
      <c r="M269" s="466">
        <v>0</v>
      </c>
      <c r="N269" s="466">
        <v>0</v>
      </c>
      <c r="O269" s="481">
        <v>256870</v>
      </c>
      <c r="P269" s="467">
        <v>0</v>
      </c>
      <c r="Q269" s="467">
        <v>0</v>
      </c>
      <c r="R269" s="466"/>
      <c r="S269" s="467"/>
      <c r="T269" s="464">
        <f t="shared" si="27"/>
        <v>0</v>
      </c>
      <c r="U269" s="465">
        <f t="shared" si="28"/>
        <v>0</v>
      </c>
      <c r="V269" s="466"/>
      <c r="W269" s="467"/>
      <c r="X269" s="466"/>
      <c r="Y269" s="467"/>
      <c r="Z269" s="466"/>
      <c r="AA269" s="466"/>
      <c r="AB269" s="466"/>
      <c r="AC269" s="467"/>
      <c r="AD269" s="467"/>
      <c r="AE269" s="467"/>
      <c r="AF269" s="466"/>
      <c r="AG269" s="467"/>
    </row>
    <row r="270" spans="1:33" customFormat="1" ht="15" customHeight="1">
      <c r="A270" s="424" t="s">
        <v>280</v>
      </c>
      <c r="B270" s="355" t="s">
        <v>313</v>
      </c>
      <c r="C270" s="356"/>
      <c r="D270" s="358">
        <v>198534</v>
      </c>
      <c r="E270" s="358">
        <v>8</v>
      </c>
      <c r="F270" s="464">
        <f t="shared" si="25"/>
        <v>253004</v>
      </c>
      <c r="G270" s="465">
        <f t="shared" si="26"/>
        <v>239260</v>
      </c>
      <c r="H270" s="466">
        <v>104447</v>
      </c>
      <c r="I270" s="478">
        <v>69327</v>
      </c>
      <c r="J270" s="466">
        <v>0</v>
      </c>
      <c r="K270" s="478">
        <v>0</v>
      </c>
      <c r="L270" s="466">
        <v>148557</v>
      </c>
      <c r="M270" s="466">
        <v>0</v>
      </c>
      <c r="N270" s="466">
        <v>0</v>
      </c>
      <c r="O270" s="478">
        <v>169933</v>
      </c>
      <c r="P270" s="467">
        <v>0</v>
      </c>
      <c r="Q270" s="467">
        <v>0</v>
      </c>
      <c r="R270" s="466"/>
      <c r="S270" s="467"/>
      <c r="T270" s="464">
        <f t="shared" si="27"/>
        <v>0</v>
      </c>
      <c r="U270" s="465">
        <f t="shared" si="28"/>
        <v>0</v>
      </c>
      <c r="V270" s="466"/>
      <c r="W270" s="467"/>
      <c r="X270" s="466"/>
      <c r="Y270" s="467"/>
      <c r="Z270" s="466"/>
      <c r="AA270" s="466"/>
      <c r="AB270" s="466"/>
      <c r="AC270" s="467"/>
      <c r="AD270" s="467"/>
      <c r="AE270" s="467"/>
      <c r="AF270" s="466"/>
      <c r="AG270" s="467"/>
    </row>
    <row r="271" spans="1:33" customFormat="1" ht="15" customHeight="1">
      <c r="A271" s="424" t="s">
        <v>280</v>
      </c>
      <c r="B271" s="355" t="s">
        <v>314</v>
      </c>
      <c r="C271" s="356"/>
      <c r="D271" s="358">
        <v>198552</v>
      </c>
      <c r="E271" s="358">
        <v>8</v>
      </c>
      <c r="F271" s="464">
        <f t="shared" si="25"/>
        <v>163779</v>
      </c>
      <c r="G271" s="465">
        <f t="shared" si="26"/>
        <v>163349</v>
      </c>
      <c r="H271" s="466">
        <v>91103</v>
      </c>
      <c r="I271" s="478">
        <v>59150</v>
      </c>
      <c r="J271" s="466">
        <v>6274</v>
      </c>
      <c r="K271" s="478">
        <v>4307</v>
      </c>
      <c r="L271" s="466">
        <v>66187</v>
      </c>
      <c r="M271" s="466">
        <v>215</v>
      </c>
      <c r="N271" s="466">
        <v>0</v>
      </c>
      <c r="O271" s="481">
        <v>99892</v>
      </c>
      <c r="P271" s="479">
        <v>0</v>
      </c>
      <c r="Q271" s="467">
        <v>0</v>
      </c>
      <c r="R271" s="466"/>
      <c r="S271" s="467"/>
      <c r="T271" s="464">
        <f t="shared" si="27"/>
        <v>0</v>
      </c>
      <c r="U271" s="465">
        <f t="shared" si="28"/>
        <v>0</v>
      </c>
      <c r="V271" s="466"/>
      <c r="W271" s="467"/>
      <c r="X271" s="466"/>
      <c r="Y271" s="467"/>
      <c r="Z271" s="466"/>
      <c r="AA271" s="466"/>
      <c r="AB271" s="466"/>
      <c r="AC271" s="467"/>
      <c r="AD271" s="467"/>
      <c r="AE271" s="467"/>
      <c r="AF271" s="466"/>
      <c r="AG271" s="467"/>
    </row>
    <row r="272" spans="1:33" customFormat="1" ht="15" customHeight="1">
      <c r="A272" s="424" t="s">
        <v>280</v>
      </c>
      <c r="B272" s="355" t="s">
        <v>316</v>
      </c>
      <c r="C272" s="356"/>
      <c r="D272" s="358">
        <v>198622</v>
      </c>
      <c r="E272" s="358">
        <v>8</v>
      </c>
      <c r="F272" s="464">
        <f t="shared" si="25"/>
        <v>223250</v>
      </c>
      <c r="G272" s="465">
        <f t="shared" si="26"/>
        <v>227481.5</v>
      </c>
      <c r="H272" s="466">
        <v>138834</v>
      </c>
      <c r="I272" s="478">
        <v>88450.5</v>
      </c>
      <c r="J272" s="466">
        <v>3857</v>
      </c>
      <c r="K272" s="478">
        <v>2988</v>
      </c>
      <c r="L272" s="466">
        <v>80559</v>
      </c>
      <c r="M272" s="466">
        <v>0</v>
      </c>
      <c r="N272" s="466">
        <v>0</v>
      </c>
      <c r="O272" s="481">
        <v>136043</v>
      </c>
      <c r="P272" s="467">
        <v>0</v>
      </c>
      <c r="Q272" s="467">
        <v>0</v>
      </c>
      <c r="R272" s="466"/>
      <c r="S272" s="467"/>
      <c r="T272" s="464">
        <f t="shared" si="27"/>
        <v>0</v>
      </c>
      <c r="U272" s="465">
        <f t="shared" si="28"/>
        <v>0</v>
      </c>
      <c r="V272" s="466"/>
      <c r="W272" s="467"/>
      <c r="X272" s="466"/>
      <c r="Y272" s="467"/>
      <c r="Z272" s="466"/>
      <c r="AA272" s="466"/>
      <c r="AB272" s="466"/>
      <c r="AC272" s="467"/>
      <c r="AD272" s="467"/>
      <c r="AE272" s="467"/>
      <c r="AF272" s="466"/>
      <c r="AG272" s="467"/>
    </row>
    <row r="273" spans="1:33" customFormat="1" ht="15" customHeight="1">
      <c r="A273" s="424" t="s">
        <v>280</v>
      </c>
      <c r="B273" s="355" t="s">
        <v>331</v>
      </c>
      <c r="C273" s="356"/>
      <c r="D273" s="358">
        <v>199333</v>
      </c>
      <c r="E273" s="358">
        <v>8</v>
      </c>
      <c r="F273" s="464">
        <f t="shared" ref="F273:F324" si="29">SUM(H273,J273,L273,M273,N273,R273)</f>
        <v>176993</v>
      </c>
      <c r="G273" s="465">
        <f t="shared" ref="G273:G324" si="30">SUM(I273,K273,O273,P273,Q273,S273)</f>
        <v>171383</v>
      </c>
      <c r="H273" s="466">
        <v>69851</v>
      </c>
      <c r="I273" s="478">
        <v>48719</v>
      </c>
      <c r="J273" s="466">
        <v>12025</v>
      </c>
      <c r="K273" s="478">
        <v>7560</v>
      </c>
      <c r="L273" s="466">
        <v>94982</v>
      </c>
      <c r="M273" s="466">
        <v>135</v>
      </c>
      <c r="N273" s="466">
        <v>0</v>
      </c>
      <c r="O273" s="478">
        <v>115104</v>
      </c>
      <c r="P273" s="479">
        <v>0</v>
      </c>
      <c r="Q273" s="467">
        <v>0</v>
      </c>
      <c r="R273" s="466"/>
      <c r="S273" s="467"/>
      <c r="T273" s="464">
        <f t="shared" ref="T273:T324" si="31">SUM(V273,X273,Z273,AA273,AB273,AF273)</f>
        <v>0</v>
      </c>
      <c r="U273" s="465">
        <f t="shared" ref="U273:U324" si="32">SUM(W273,Y273,AC273,AD273,AE273,AG273)</f>
        <v>0</v>
      </c>
      <c r="V273" s="466"/>
      <c r="W273" s="467"/>
      <c r="X273" s="466"/>
      <c r="Y273" s="467"/>
      <c r="Z273" s="466"/>
      <c r="AA273" s="466"/>
      <c r="AB273" s="466"/>
      <c r="AC273" s="467"/>
      <c r="AD273" s="467"/>
      <c r="AE273" s="467"/>
      <c r="AF273" s="466"/>
      <c r="AG273" s="467"/>
    </row>
    <row r="274" spans="1:33" customFormat="1" ht="15" customHeight="1">
      <c r="A274" s="424" t="s">
        <v>280</v>
      </c>
      <c r="B274" s="355" t="s">
        <v>337</v>
      </c>
      <c r="C274" s="356"/>
      <c r="D274" s="358">
        <v>199494</v>
      </c>
      <c r="E274" s="358">
        <v>8</v>
      </c>
      <c r="F274" s="464">
        <f t="shared" si="29"/>
        <v>127826</v>
      </c>
      <c r="G274" s="465">
        <f t="shared" si="30"/>
        <v>130203</v>
      </c>
      <c r="H274" s="466">
        <v>53927</v>
      </c>
      <c r="I274" s="478">
        <v>44917</v>
      </c>
      <c r="J274" s="466">
        <v>8939</v>
      </c>
      <c r="K274" s="478">
        <v>9881</v>
      </c>
      <c r="L274" s="466">
        <v>64960</v>
      </c>
      <c r="M274" s="466">
        <v>0</v>
      </c>
      <c r="N274" s="466">
        <v>0</v>
      </c>
      <c r="O274" s="478">
        <v>75405</v>
      </c>
      <c r="P274" s="467">
        <v>0</v>
      </c>
      <c r="Q274" s="467">
        <v>0</v>
      </c>
      <c r="R274" s="466"/>
      <c r="S274" s="467"/>
      <c r="T274" s="464">
        <f t="shared" si="31"/>
        <v>0</v>
      </c>
      <c r="U274" s="465">
        <f t="shared" si="32"/>
        <v>0</v>
      </c>
      <c r="V274" s="466"/>
      <c r="W274" s="467"/>
      <c r="X274" s="466"/>
      <c r="Y274" s="467"/>
      <c r="Z274" s="466"/>
      <c r="AA274" s="466"/>
      <c r="AB274" s="466"/>
      <c r="AC274" s="467"/>
      <c r="AD274" s="467"/>
      <c r="AE274" s="467"/>
      <c r="AF274" s="466"/>
      <c r="AG274" s="467"/>
    </row>
    <row r="275" spans="1:33" customFormat="1" ht="15" customHeight="1">
      <c r="A275" s="424" t="s">
        <v>280</v>
      </c>
      <c r="B275" s="355" t="s">
        <v>347</v>
      </c>
      <c r="C275" s="356"/>
      <c r="D275" s="358">
        <v>199856</v>
      </c>
      <c r="E275" s="358">
        <v>8</v>
      </c>
      <c r="F275" s="464">
        <f t="shared" si="29"/>
        <v>451813</v>
      </c>
      <c r="G275" s="465">
        <f t="shared" si="30"/>
        <v>460892</v>
      </c>
      <c r="H275" s="466">
        <v>248494</v>
      </c>
      <c r="I275" s="478">
        <v>124907</v>
      </c>
      <c r="J275" s="466">
        <v>5393</v>
      </c>
      <c r="K275" s="478">
        <v>3735</v>
      </c>
      <c r="L275" s="466">
        <v>197926</v>
      </c>
      <c r="M275" s="466">
        <v>0</v>
      </c>
      <c r="N275" s="466">
        <v>0</v>
      </c>
      <c r="O275" s="481">
        <v>332250</v>
      </c>
      <c r="P275" s="467">
        <v>0</v>
      </c>
      <c r="Q275" s="467">
        <v>0</v>
      </c>
      <c r="R275" s="466"/>
      <c r="S275" s="467"/>
      <c r="T275" s="464">
        <f t="shared" si="31"/>
        <v>0</v>
      </c>
      <c r="U275" s="465">
        <f t="shared" si="32"/>
        <v>0</v>
      </c>
      <c r="V275" s="466"/>
      <c r="W275" s="467"/>
      <c r="X275" s="466"/>
      <c r="Y275" s="467"/>
      <c r="Z275" s="466"/>
      <c r="AA275" s="466"/>
      <c r="AB275" s="466"/>
      <c r="AC275" s="467"/>
      <c r="AD275" s="467"/>
      <c r="AE275" s="467"/>
      <c r="AF275" s="466"/>
      <c r="AG275" s="467"/>
    </row>
    <row r="276" spans="1:33" customFormat="1" ht="15" customHeight="1">
      <c r="A276" s="424" t="s">
        <v>280</v>
      </c>
      <c r="B276" s="355" t="s">
        <v>296</v>
      </c>
      <c r="C276" s="356"/>
      <c r="D276" s="358">
        <v>199786</v>
      </c>
      <c r="E276" s="358">
        <v>9</v>
      </c>
      <c r="F276" s="464">
        <f t="shared" si="29"/>
        <v>85399.5</v>
      </c>
      <c r="G276" s="465">
        <f t="shared" si="30"/>
        <v>86423.5</v>
      </c>
      <c r="H276" s="466">
        <v>48328.5</v>
      </c>
      <c r="I276" s="481">
        <v>23367.5</v>
      </c>
      <c r="J276" s="466">
        <v>4868</v>
      </c>
      <c r="K276" s="478">
        <v>2919</v>
      </c>
      <c r="L276" s="466">
        <v>32203</v>
      </c>
      <c r="M276" s="466">
        <v>0</v>
      </c>
      <c r="N276" s="466">
        <v>0</v>
      </c>
      <c r="O276" s="481">
        <v>60137</v>
      </c>
      <c r="P276" s="467">
        <v>0</v>
      </c>
      <c r="Q276" s="467">
        <v>0</v>
      </c>
      <c r="R276" s="466"/>
      <c r="S276" s="467"/>
      <c r="T276" s="464">
        <f t="shared" si="31"/>
        <v>0</v>
      </c>
      <c r="U276" s="465">
        <f t="shared" si="32"/>
        <v>0</v>
      </c>
      <c r="V276" s="466"/>
      <c r="W276" s="467"/>
      <c r="X276" s="466"/>
      <c r="Y276" s="467"/>
      <c r="Z276" s="466"/>
      <c r="AA276" s="466"/>
      <c r="AB276" s="466"/>
      <c r="AC276" s="467"/>
      <c r="AD276" s="467"/>
      <c r="AE276" s="467"/>
      <c r="AF276" s="466"/>
      <c r="AG276" s="467"/>
    </row>
    <row r="277" spans="1:33" customFormat="1" ht="15" customHeight="1">
      <c r="A277" s="424" t="s">
        <v>280</v>
      </c>
      <c r="B277" s="355" t="s">
        <v>302</v>
      </c>
      <c r="C277" s="356"/>
      <c r="D277" s="358">
        <v>198118</v>
      </c>
      <c r="E277" s="358">
        <v>9</v>
      </c>
      <c r="F277" s="464">
        <f t="shared" si="29"/>
        <v>73103</v>
      </c>
      <c r="G277" s="465">
        <f t="shared" si="30"/>
        <v>77344</v>
      </c>
      <c r="H277" s="466">
        <v>39452</v>
      </c>
      <c r="I277" s="478">
        <v>20152</v>
      </c>
      <c r="J277" s="466">
        <v>4089</v>
      </c>
      <c r="K277" s="478">
        <v>3829</v>
      </c>
      <c r="L277" s="466">
        <v>27325</v>
      </c>
      <c r="M277" s="466">
        <v>2237</v>
      </c>
      <c r="N277" s="466">
        <v>0</v>
      </c>
      <c r="O277" s="481">
        <v>53363</v>
      </c>
      <c r="P277" s="479">
        <v>0</v>
      </c>
      <c r="Q277" s="467">
        <v>0</v>
      </c>
      <c r="R277" s="466"/>
      <c r="S277" s="467"/>
      <c r="T277" s="464">
        <f t="shared" si="31"/>
        <v>0</v>
      </c>
      <c r="U277" s="465">
        <f t="shared" si="32"/>
        <v>0</v>
      </c>
      <c r="V277" s="466"/>
      <c r="W277" s="467"/>
      <c r="X277" s="466"/>
      <c r="Y277" s="467"/>
      <c r="Z277" s="466"/>
      <c r="AA277" s="466"/>
      <c r="AB277" s="466"/>
      <c r="AC277" s="467"/>
      <c r="AD277" s="467"/>
      <c r="AE277" s="467"/>
      <c r="AF277" s="466"/>
      <c r="AG277" s="467"/>
    </row>
    <row r="278" spans="1:33" customFormat="1" ht="15" customHeight="1">
      <c r="A278" s="424" t="s">
        <v>280</v>
      </c>
      <c r="B278" s="355" t="s">
        <v>305</v>
      </c>
      <c r="C278" s="356"/>
      <c r="D278" s="358">
        <v>198233</v>
      </c>
      <c r="E278" s="358">
        <v>9</v>
      </c>
      <c r="F278" s="464">
        <f t="shared" si="29"/>
        <v>95883</v>
      </c>
      <c r="G278" s="465">
        <f t="shared" si="30"/>
        <v>94630</v>
      </c>
      <c r="H278" s="466">
        <v>46866</v>
      </c>
      <c r="I278" s="478">
        <v>27914</v>
      </c>
      <c r="J278" s="466">
        <v>5585</v>
      </c>
      <c r="K278" s="480">
        <v>12580</v>
      </c>
      <c r="L278" s="466">
        <v>43432</v>
      </c>
      <c r="M278" s="466">
        <v>0</v>
      </c>
      <c r="N278" s="466">
        <v>0</v>
      </c>
      <c r="O278" s="478">
        <v>54136</v>
      </c>
      <c r="P278" s="467">
        <v>0</v>
      </c>
      <c r="Q278" s="467">
        <v>0</v>
      </c>
      <c r="R278" s="466"/>
      <c r="S278" s="467"/>
      <c r="T278" s="464">
        <f t="shared" si="31"/>
        <v>0</v>
      </c>
      <c r="U278" s="465">
        <f t="shared" si="32"/>
        <v>0</v>
      </c>
      <c r="V278" s="466"/>
      <c r="W278" s="467"/>
      <c r="X278" s="466"/>
      <c r="Y278" s="467"/>
      <c r="Z278" s="466"/>
      <c r="AA278" s="466"/>
      <c r="AB278" s="466"/>
      <c r="AC278" s="467"/>
      <c r="AD278" s="467"/>
      <c r="AE278" s="467"/>
      <c r="AF278" s="466"/>
      <c r="AG278" s="467"/>
    </row>
    <row r="279" spans="1:33" customFormat="1" ht="15" customHeight="1">
      <c r="A279" s="424" t="s">
        <v>280</v>
      </c>
      <c r="B279" s="355" t="s">
        <v>306</v>
      </c>
      <c r="C279" s="356"/>
      <c r="D279" s="358">
        <v>198251</v>
      </c>
      <c r="E279" s="358">
        <v>9</v>
      </c>
      <c r="F279" s="464">
        <f t="shared" si="29"/>
        <v>106062</v>
      </c>
      <c r="G279" s="465">
        <f t="shared" si="30"/>
        <v>109789</v>
      </c>
      <c r="H279" s="466">
        <v>48987</v>
      </c>
      <c r="I279" s="478">
        <v>27689</v>
      </c>
      <c r="J279" s="466">
        <v>6291</v>
      </c>
      <c r="K279" s="481">
        <v>9838</v>
      </c>
      <c r="L279" s="466">
        <v>50245</v>
      </c>
      <c r="M279" s="466">
        <v>539</v>
      </c>
      <c r="N279" s="466">
        <v>0</v>
      </c>
      <c r="O279" s="478">
        <v>72262</v>
      </c>
      <c r="P279" s="479">
        <v>0</v>
      </c>
      <c r="Q279" s="467">
        <v>0</v>
      </c>
      <c r="R279" s="466"/>
      <c r="S279" s="467"/>
      <c r="T279" s="464">
        <f t="shared" si="31"/>
        <v>0</v>
      </c>
      <c r="U279" s="465">
        <f t="shared" si="32"/>
        <v>0</v>
      </c>
      <c r="V279" s="466"/>
      <c r="W279" s="467"/>
      <c r="X279" s="466"/>
      <c r="Y279" s="467"/>
      <c r="Z279" s="466"/>
      <c r="AA279" s="466"/>
      <c r="AB279" s="466"/>
      <c r="AC279" s="467"/>
      <c r="AD279" s="467"/>
      <c r="AE279" s="467"/>
      <c r="AF279" s="466"/>
      <c r="AG279" s="467"/>
    </row>
    <row r="280" spans="1:33" customFormat="1" ht="15" customHeight="1">
      <c r="A280" s="424" t="s">
        <v>280</v>
      </c>
      <c r="B280" s="355" t="s">
        <v>308</v>
      </c>
      <c r="C280" s="356"/>
      <c r="D280" s="358">
        <v>198321</v>
      </c>
      <c r="E280" s="358">
        <v>9</v>
      </c>
      <c r="F280" s="464">
        <f t="shared" si="29"/>
        <v>52901</v>
      </c>
      <c r="G280" s="465">
        <f t="shared" si="30"/>
        <v>53586</v>
      </c>
      <c r="H280" s="466">
        <v>16727</v>
      </c>
      <c r="I280" s="478">
        <v>17098</v>
      </c>
      <c r="J280" s="466">
        <v>7442</v>
      </c>
      <c r="K280" s="478">
        <v>6795</v>
      </c>
      <c r="L280" s="466">
        <v>28717</v>
      </c>
      <c r="M280" s="466">
        <v>15</v>
      </c>
      <c r="N280" s="466">
        <v>0</v>
      </c>
      <c r="O280" s="478">
        <v>29693</v>
      </c>
      <c r="P280" s="479">
        <v>0</v>
      </c>
      <c r="Q280" s="467">
        <v>0</v>
      </c>
      <c r="R280" s="466"/>
      <c r="S280" s="467"/>
      <c r="T280" s="464">
        <f t="shared" si="31"/>
        <v>0</v>
      </c>
      <c r="U280" s="465">
        <f t="shared" si="32"/>
        <v>0</v>
      </c>
      <c r="V280" s="466"/>
      <c r="W280" s="467"/>
      <c r="X280" s="466"/>
      <c r="Y280" s="467"/>
      <c r="Z280" s="466"/>
      <c r="AA280" s="466"/>
      <c r="AB280" s="466"/>
      <c r="AC280" s="467"/>
      <c r="AD280" s="467"/>
      <c r="AE280" s="467"/>
      <c r="AF280" s="466"/>
      <c r="AG280" s="467"/>
    </row>
    <row r="281" spans="1:33" customFormat="1" ht="15" customHeight="1">
      <c r="A281" s="424" t="s">
        <v>280</v>
      </c>
      <c r="B281" s="355" t="s">
        <v>309</v>
      </c>
      <c r="C281" s="356"/>
      <c r="D281" s="358">
        <v>198330</v>
      </c>
      <c r="E281" s="358">
        <v>9</v>
      </c>
      <c r="F281" s="464">
        <f t="shared" si="29"/>
        <v>89584</v>
      </c>
      <c r="G281" s="465">
        <f t="shared" si="30"/>
        <v>87823</v>
      </c>
      <c r="H281" s="466">
        <v>57191</v>
      </c>
      <c r="I281" s="478">
        <v>39011</v>
      </c>
      <c r="J281" s="466">
        <v>5381</v>
      </c>
      <c r="K281" s="478">
        <v>4424</v>
      </c>
      <c r="L281" s="466">
        <v>27012</v>
      </c>
      <c r="M281" s="466">
        <v>0</v>
      </c>
      <c r="N281" s="466">
        <v>0</v>
      </c>
      <c r="O281" s="481">
        <v>44388</v>
      </c>
      <c r="P281" s="467">
        <v>0</v>
      </c>
      <c r="Q281" s="467">
        <v>0</v>
      </c>
      <c r="R281" s="466"/>
      <c r="S281" s="467"/>
      <c r="T281" s="464">
        <f t="shared" si="31"/>
        <v>0</v>
      </c>
      <c r="U281" s="465">
        <f t="shared" si="32"/>
        <v>0</v>
      </c>
      <c r="V281" s="466"/>
      <c r="W281" s="467"/>
      <c r="X281" s="466"/>
      <c r="Y281" s="467"/>
      <c r="Z281" s="466"/>
      <c r="AA281" s="466"/>
      <c r="AB281" s="466"/>
      <c r="AC281" s="467"/>
      <c r="AD281" s="467"/>
      <c r="AE281" s="467"/>
      <c r="AF281" s="466"/>
      <c r="AG281" s="467"/>
    </row>
    <row r="282" spans="1:33" customFormat="1" ht="15" customHeight="1">
      <c r="A282" s="424" t="s">
        <v>280</v>
      </c>
      <c r="B282" s="355" t="s">
        <v>310</v>
      </c>
      <c r="C282" s="356"/>
      <c r="D282" s="358">
        <v>198367</v>
      </c>
      <c r="E282" s="358">
        <v>9</v>
      </c>
      <c r="F282" s="464">
        <f t="shared" si="29"/>
        <v>59283</v>
      </c>
      <c r="G282" s="465">
        <f t="shared" si="30"/>
        <v>58358</v>
      </c>
      <c r="H282" s="466">
        <v>27933</v>
      </c>
      <c r="I282" s="481">
        <v>12130</v>
      </c>
      <c r="J282" s="466">
        <v>1580</v>
      </c>
      <c r="K282" s="480">
        <v>12873</v>
      </c>
      <c r="L282" s="466">
        <v>29770</v>
      </c>
      <c r="M282" s="466">
        <v>0</v>
      </c>
      <c r="N282" s="466">
        <v>0</v>
      </c>
      <c r="O282" s="478">
        <v>33355</v>
      </c>
      <c r="P282" s="467">
        <v>0</v>
      </c>
      <c r="Q282" s="467">
        <v>0</v>
      </c>
      <c r="R282" s="466"/>
      <c r="S282" s="467"/>
      <c r="T282" s="464">
        <f t="shared" si="31"/>
        <v>0</v>
      </c>
      <c r="U282" s="465">
        <f t="shared" si="32"/>
        <v>0</v>
      </c>
      <c r="V282" s="466"/>
      <c r="W282" s="467"/>
      <c r="X282" s="466"/>
      <c r="Y282" s="467"/>
      <c r="Z282" s="466"/>
      <c r="AA282" s="466"/>
      <c r="AB282" s="466"/>
      <c r="AC282" s="467"/>
      <c r="AD282" s="467"/>
      <c r="AE282" s="467"/>
      <c r="AF282" s="466"/>
      <c r="AG282" s="467"/>
    </row>
    <row r="283" spans="1:33" customFormat="1" ht="15" customHeight="1">
      <c r="A283" s="424" t="s">
        <v>280</v>
      </c>
      <c r="B283" s="355" t="s">
        <v>766</v>
      </c>
      <c r="C283" s="356"/>
      <c r="D283" s="358">
        <v>198376</v>
      </c>
      <c r="E283" s="358">
        <v>9</v>
      </c>
      <c r="F283" s="464">
        <f t="shared" si="29"/>
        <v>73191</v>
      </c>
      <c r="G283" s="465">
        <f t="shared" si="30"/>
        <v>76752</v>
      </c>
      <c r="H283" s="466">
        <v>32904</v>
      </c>
      <c r="I283" s="478">
        <v>33609</v>
      </c>
      <c r="J283" s="466">
        <v>841</v>
      </c>
      <c r="K283" s="480">
        <v>2996</v>
      </c>
      <c r="L283" s="466">
        <v>39446</v>
      </c>
      <c r="M283" s="466">
        <v>0</v>
      </c>
      <c r="N283" s="466">
        <v>0</v>
      </c>
      <c r="O283" s="478">
        <v>40147</v>
      </c>
      <c r="P283" s="467">
        <v>0</v>
      </c>
      <c r="Q283" s="467">
        <v>0</v>
      </c>
      <c r="R283" s="466"/>
      <c r="S283" s="467"/>
      <c r="T283" s="464">
        <f t="shared" si="31"/>
        <v>0</v>
      </c>
      <c r="U283" s="465">
        <f t="shared" si="32"/>
        <v>0</v>
      </c>
      <c r="V283" s="466"/>
      <c r="W283" s="467"/>
      <c r="X283" s="466"/>
      <c r="Y283" s="467"/>
      <c r="Z283" s="466"/>
      <c r="AA283" s="466"/>
      <c r="AB283" s="466"/>
      <c r="AC283" s="467"/>
      <c r="AD283" s="467"/>
      <c r="AE283" s="467"/>
      <c r="AF283" s="466"/>
      <c r="AG283" s="467"/>
    </row>
    <row r="284" spans="1:33" customFormat="1" ht="15" customHeight="1">
      <c r="A284" s="424" t="s">
        <v>280</v>
      </c>
      <c r="B284" s="355" t="s">
        <v>311</v>
      </c>
      <c r="C284" s="356"/>
      <c r="D284" s="358">
        <v>198455</v>
      </c>
      <c r="E284" s="358">
        <v>9</v>
      </c>
      <c r="F284" s="464">
        <f t="shared" si="29"/>
        <v>104211</v>
      </c>
      <c r="G284" s="465">
        <f t="shared" si="30"/>
        <v>106093</v>
      </c>
      <c r="H284" s="466">
        <v>64146</v>
      </c>
      <c r="I284" s="481">
        <v>30662</v>
      </c>
      <c r="J284" s="466">
        <v>3161</v>
      </c>
      <c r="K284" s="481">
        <v>5173</v>
      </c>
      <c r="L284" s="466">
        <v>36904</v>
      </c>
      <c r="M284" s="466">
        <v>0</v>
      </c>
      <c r="N284" s="466">
        <v>0</v>
      </c>
      <c r="O284" s="481">
        <v>70258</v>
      </c>
      <c r="P284" s="467">
        <v>0</v>
      </c>
      <c r="Q284" s="467">
        <v>0</v>
      </c>
      <c r="R284" s="466"/>
      <c r="S284" s="467"/>
      <c r="T284" s="464">
        <f t="shared" si="31"/>
        <v>0</v>
      </c>
      <c r="U284" s="465">
        <f t="shared" si="32"/>
        <v>0</v>
      </c>
      <c r="V284" s="466"/>
      <c r="W284" s="467"/>
      <c r="X284" s="466"/>
      <c r="Y284" s="467"/>
      <c r="Z284" s="466"/>
      <c r="AA284" s="466"/>
      <c r="AB284" s="466"/>
      <c r="AC284" s="467"/>
      <c r="AD284" s="467"/>
      <c r="AE284" s="467"/>
      <c r="AF284" s="466"/>
      <c r="AG284" s="467"/>
    </row>
    <row r="285" spans="1:33" customFormat="1" ht="15" customHeight="1">
      <c r="A285" s="424" t="s">
        <v>280</v>
      </c>
      <c r="B285" s="355" t="s">
        <v>315</v>
      </c>
      <c r="C285" s="356"/>
      <c r="D285" s="358">
        <v>198570</v>
      </c>
      <c r="E285" s="358">
        <v>9</v>
      </c>
      <c r="F285" s="464">
        <f t="shared" si="29"/>
        <v>106395.5</v>
      </c>
      <c r="G285" s="465">
        <f t="shared" si="30"/>
        <v>106598</v>
      </c>
      <c r="H285" s="466">
        <v>47557</v>
      </c>
      <c r="I285" s="478">
        <v>29828</v>
      </c>
      <c r="J285" s="466">
        <v>1965</v>
      </c>
      <c r="K285" s="481">
        <v>804</v>
      </c>
      <c r="L285" s="466">
        <v>56627.5</v>
      </c>
      <c r="M285" s="466">
        <v>246</v>
      </c>
      <c r="N285" s="466">
        <v>0</v>
      </c>
      <c r="O285" s="478">
        <v>75966</v>
      </c>
      <c r="P285" s="479">
        <v>0</v>
      </c>
      <c r="Q285" s="467">
        <v>0</v>
      </c>
      <c r="R285" s="466"/>
      <c r="S285" s="467"/>
      <c r="T285" s="464">
        <f t="shared" si="31"/>
        <v>0</v>
      </c>
      <c r="U285" s="465">
        <f t="shared" si="32"/>
        <v>0</v>
      </c>
      <c r="V285" s="466"/>
      <c r="W285" s="467"/>
      <c r="X285" s="466"/>
      <c r="Y285" s="467"/>
      <c r="Z285" s="466"/>
      <c r="AA285" s="466"/>
      <c r="AB285" s="466"/>
      <c r="AC285" s="467"/>
      <c r="AD285" s="467"/>
      <c r="AE285" s="467"/>
      <c r="AF285" s="466"/>
      <c r="AG285" s="467"/>
    </row>
    <row r="286" spans="1:33" customFormat="1" ht="15" customHeight="1">
      <c r="A286" s="424" t="s">
        <v>280</v>
      </c>
      <c r="B286" s="355" t="s">
        <v>321</v>
      </c>
      <c r="C286" s="356"/>
      <c r="D286" s="358">
        <v>198774</v>
      </c>
      <c r="E286" s="358">
        <v>9</v>
      </c>
      <c r="F286" s="464">
        <f t="shared" si="29"/>
        <v>80812</v>
      </c>
      <c r="G286" s="465">
        <f t="shared" si="30"/>
        <v>86085</v>
      </c>
      <c r="H286" s="466">
        <v>37592</v>
      </c>
      <c r="I286" s="478">
        <v>27100</v>
      </c>
      <c r="J286" s="466">
        <v>5051</v>
      </c>
      <c r="K286" s="478">
        <v>3763</v>
      </c>
      <c r="L286" s="466">
        <v>38148</v>
      </c>
      <c r="M286" s="466">
        <v>21</v>
      </c>
      <c r="N286" s="466">
        <v>0</v>
      </c>
      <c r="O286" s="478">
        <v>55222</v>
      </c>
      <c r="P286" s="479">
        <v>0</v>
      </c>
      <c r="Q286" s="467">
        <v>0</v>
      </c>
      <c r="R286" s="466"/>
      <c r="S286" s="467"/>
      <c r="T286" s="464">
        <f t="shared" si="31"/>
        <v>0</v>
      </c>
      <c r="U286" s="465">
        <f t="shared" si="32"/>
        <v>0</v>
      </c>
      <c r="V286" s="466"/>
      <c r="W286" s="467"/>
      <c r="X286" s="466"/>
      <c r="Y286" s="467"/>
      <c r="Z286" s="466"/>
      <c r="AA286" s="466"/>
      <c r="AB286" s="466"/>
      <c r="AC286" s="467"/>
      <c r="AD286" s="467"/>
      <c r="AE286" s="467"/>
      <c r="AF286" s="466"/>
      <c r="AG286" s="467"/>
    </row>
    <row r="287" spans="1:33" customFormat="1" ht="15" customHeight="1">
      <c r="A287" s="424" t="s">
        <v>280</v>
      </c>
      <c r="B287" s="355" t="s">
        <v>322</v>
      </c>
      <c r="C287" s="356"/>
      <c r="D287" s="358">
        <v>198817</v>
      </c>
      <c r="E287" s="358">
        <v>9</v>
      </c>
      <c r="F287" s="464">
        <f t="shared" si="29"/>
        <v>53415</v>
      </c>
      <c r="G287" s="465">
        <f t="shared" si="30"/>
        <v>51279</v>
      </c>
      <c r="H287" s="466">
        <v>19059</v>
      </c>
      <c r="I287" s="478">
        <v>14718</v>
      </c>
      <c r="J287" s="466">
        <v>2691</v>
      </c>
      <c r="K287" s="478">
        <v>1873</v>
      </c>
      <c r="L287" s="466">
        <v>31587</v>
      </c>
      <c r="M287" s="466">
        <v>78</v>
      </c>
      <c r="N287" s="466">
        <v>0</v>
      </c>
      <c r="O287" s="478">
        <v>34688</v>
      </c>
      <c r="P287" s="479">
        <v>0</v>
      </c>
      <c r="Q287" s="467">
        <v>0</v>
      </c>
      <c r="R287" s="466"/>
      <c r="S287" s="467"/>
      <c r="T287" s="464">
        <f t="shared" si="31"/>
        <v>0</v>
      </c>
      <c r="U287" s="465">
        <f t="shared" si="32"/>
        <v>0</v>
      </c>
      <c r="V287" s="466"/>
      <c r="W287" s="467"/>
      <c r="X287" s="466"/>
      <c r="Y287" s="467"/>
      <c r="Z287" s="466"/>
      <c r="AA287" s="466"/>
      <c r="AB287" s="466"/>
      <c r="AC287" s="467"/>
      <c r="AD287" s="467"/>
      <c r="AE287" s="467"/>
      <c r="AF287" s="466"/>
      <c r="AG287" s="467"/>
    </row>
    <row r="288" spans="1:33" customFormat="1" ht="15" customHeight="1">
      <c r="A288" s="424" t="s">
        <v>280</v>
      </c>
      <c r="B288" s="355" t="s">
        <v>326</v>
      </c>
      <c r="C288" s="356"/>
      <c r="D288" s="358">
        <v>198987</v>
      </c>
      <c r="E288" s="358">
        <v>9</v>
      </c>
      <c r="F288" s="464">
        <f t="shared" si="29"/>
        <v>57483</v>
      </c>
      <c r="G288" s="465">
        <f t="shared" si="30"/>
        <v>60192.800000000003</v>
      </c>
      <c r="H288" s="466">
        <v>26128</v>
      </c>
      <c r="I288" s="478">
        <v>23654.799999999999</v>
      </c>
      <c r="J288" s="466">
        <v>3596</v>
      </c>
      <c r="K288" s="478">
        <v>5303</v>
      </c>
      <c r="L288" s="466">
        <v>27759</v>
      </c>
      <c r="M288" s="466">
        <v>0</v>
      </c>
      <c r="N288" s="466">
        <v>0</v>
      </c>
      <c r="O288" s="478">
        <v>31235</v>
      </c>
      <c r="P288" s="467">
        <v>0</v>
      </c>
      <c r="Q288" s="467">
        <v>0</v>
      </c>
      <c r="R288" s="466"/>
      <c r="S288" s="467"/>
      <c r="T288" s="464">
        <f t="shared" si="31"/>
        <v>0</v>
      </c>
      <c r="U288" s="465">
        <f t="shared" si="32"/>
        <v>0</v>
      </c>
      <c r="V288" s="466"/>
      <c r="W288" s="467"/>
      <c r="X288" s="466"/>
      <c r="Y288" s="467"/>
      <c r="Z288" s="466"/>
      <c r="AA288" s="466"/>
      <c r="AB288" s="466"/>
      <c r="AC288" s="467"/>
      <c r="AD288" s="467"/>
      <c r="AE288" s="467"/>
      <c r="AF288" s="466"/>
      <c r="AG288" s="467"/>
    </row>
    <row r="289" spans="1:33" customFormat="1" ht="15" customHeight="1">
      <c r="A289" s="424" t="s">
        <v>280</v>
      </c>
      <c r="B289" s="355" t="s">
        <v>328</v>
      </c>
      <c r="C289" s="356"/>
      <c r="D289" s="358">
        <v>199087</v>
      </c>
      <c r="E289" s="358">
        <v>9</v>
      </c>
      <c r="F289" s="464">
        <f t="shared" si="29"/>
        <v>61348</v>
      </c>
      <c r="G289" s="465">
        <f t="shared" si="30"/>
        <v>56033</v>
      </c>
      <c r="H289" s="466">
        <v>28553</v>
      </c>
      <c r="I289" s="478">
        <v>17542</v>
      </c>
      <c r="J289" s="466">
        <v>3326</v>
      </c>
      <c r="K289" s="478">
        <v>2116</v>
      </c>
      <c r="L289" s="466">
        <v>29469</v>
      </c>
      <c r="M289" s="466">
        <v>0</v>
      </c>
      <c r="N289" s="466">
        <v>0</v>
      </c>
      <c r="O289" s="478">
        <v>36375</v>
      </c>
      <c r="P289" s="467">
        <v>0</v>
      </c>
      <c r="Q289" s="467">
        <v>0</v>
      </c>
      <c r="R289" s="466"/>
      <c r="S289" s="467"/>
      <c r="T289" s="464">
        <f t="shared" si="31"/>
        <v>0</v>
      </c>
      <c r="U289" s="465">
        <f t="shared" si="32"/>
        <v>0</v>
      </c>
      <c r="V289" s="466"/>
      <c r="W289" s="467"/>
      <c r="X289" s="466"/>
      <c r="Y289" s="467"/>
      <c r="Z289" s="466"/>
      <c r="AA289" s="466"/>
      <c r="AB289" s="466"/>
      <c r="AC289" s="467"/>
      <c r="AD289" s="467"/>
      <c r="AE289" s="467"/>
      <c r="AF289" s="466"/>
      <c r="AG289" s="467"/>
    </row>
    <row r="290" spans="1:33" customFormat="1" ht="15" customHeight="1">
      <c r="A290" s="424" t="s">
        <v>280</v>
      </c>
      <c r="B290" s="355" t="s">
        <v>332</v>
      </c>
      <c r="C290" s="356"/>
      <c r="D290" s="358">
        <v>199421</v>
      </c>
      <c r="E290" s="358">
        <v>9</v>
      </c>
      <c r="F290" s="464">
        <f t="shared" si="29"/>
        <v>53952</v>
      </c>
      <c r="G290" s="465">
        <f t="shared" si="30"/>
        <v>53143</v>
      </c>
      <c r="H290" s="466">
        <v>27275</v>
      </c>
      <c r="I290" s="478">
        <v>16754</v>
      </c>
      <c r="J290" s="466">
        <v>1967</v>
      </c>
      <c r="K290" s="481">
        <v>850</v>
      </c>
      <c r="L290" s="466">
        <v>24665</v>
      </c>
      <c r="M290" s="466">
        <v>45</v>
      </c>
      <c r="N290" s="466">
        <v>0</v>
      </c>
      <c r="O290" s="478">
        <v>35539</v>
      </c>
      <c r="P290" s="479">
        <v>0</v>
      </c>
      <c r="Q290" s="467">
        <v>0</v>
      </c>
      <c r="R290" s="466"/>
      <c r="S290" s="467"/>
      <c r="T290" s="464">
        <f t="shared" si="31"/>
        <v>0</v>
      </c>
      <c r="U290" s="465">
        <f t="shared" si="32"/>
        <v>0</v>
      </c>
      <c r="V290" s="466"/>
      <c r="W290" s="467"/>
      <c r="X290" s="466"/>
      <c r="Y290" s="467"/>
      <c r="Z290" s="466"/>
      <c r="AA290" s="466"/>
      <c r="AB290" s="466"/>
      <c r="AC290" s="467"/>
      <c r="AD290" s="467"/>
      <c r="AE290" s="467"/>
      <c r="AF290" s="466"/>
      <c r="AG290" s="467"/>
    </row>
    <row r="291" spans="1:33" customFormat="1" ht="15" customHeight="1">
      <c r="A291" s="424" t="s">
        <v>280</v>
      </c>
      <c r="B291" s="355" t="s">
        <v>333</v>
      </c>
      <c r="C291" s="360"/>
      <c r="D291" s="358">
        <v>199449</v>
      </c>
      <c r="E291" s="358">
        <v>9</v>
      </c>
      <c r="F291" s="464">
        <f t="shared" si="29"/>
        <v>52823</v>
      </c>
      <c r="G291" s="465">
        <f t="shared" si="30"/>
        <v>47998.5</v>
      </c>
      <c r="H291" s="466">
        <v>27857</v>
      </c>
      <c r="I291" s="478">
        <v>23998.5</v>
      </c>
      <c r="J291" s="466">
        <v>1381</v>
      </c>
      <c r="K291" s="481">
        <v>231</v>
      </c>
      <c r="L291" s="466">
        <v>23585</v>
      </c>
      <c r="M291" s="466">
        <v>0</v>
      </c>
      <c r="N291" s="466">
        <v>0</v>
      </c>
      <c r="O291" s="478">
        <v>23769</v>
      </c>
      <c r="P291" s="467">
        <v>0</v>
      </c>
      <c r="Q291" s="467">
        <v>0</v>
      </c>
      <c r="R291" s="466"/>
      <c r="S291" s="467"/>
      <c r="T291" s="464">
        <f t="shared" si="31"/>
        <v>0</v>
      </c>
      <c r="U291" s="465">
        <f t="shared" si="32"/>
        <v>0</v>
      </c>
      <c r="V291" s="466"/>
      <c r="W291" s="467"/>
      <c r="X291" s="466"/>
      <c r="Y291" s="467"/>
      <c r="Z291" s="466"/>
      <c r="AA291" s="466"/>
      <c r="AB291" s="466"/>
      <c r="AC291" s="467"/>
      <c r="AD291" s="467"/>
      <c r="AE291" s="467"/>
      <c r="AF291" s="466"/>
      <c r="AG291" s="467"/>
    </row>
    <row r="292" spans="1:33" customFormat="1" ht="15" customHeight="1">
      <c r="A292" s="424" t="s">
        <v>280</v>
      </c>
      <c r="B292" s="355" t="s">
        <v>339</v>
      </c>
      <c r="C292" s="356"/>
      <c r="D292" s="358">
        <v>199634</v>
      </c>
      <c r="E292" s="358">
        <v>9</v>
      </c>
      <c r="F292" s="464">
        <f t="shared" si="29"/>
        <v>82195</v>
      </c>
      <c r="G292" s="465">
        <f t="shared" si="30"/>
        <v>83225</v>
      </c>
      <c r="H292" s="466">
        <v>47085</v>
      </c>
      <c r="I292" s="478">
        <v>25506</v>
      </c>
      <c r="J292" s="466">
        <v>2633</v>
      </c>
      <c r="K292" s="478">
        <v>2380</v>
      </c>
      <c r="L292" s="466">
        <v>32477</v>
      </c>
      <c r="M292" s="466">
        <v>0</v>
      </c>
      <c r="N292" s="466">
        <v>0</v>
      </c>
      <c r="O292" s="481">
        <v>55339</v>
      </c>
      <c r="P292" s="467">
        <v>0</v>
      </c>
      <c r="Q292" s="467">
        <v>0</v>
      </c>
      <c r="R292" s="466"/>
      <c r="S292" s="467"/>
      <c r="T292" s="464">
        <f t="shared" si="31"/>
        <v>0</v>
      </c>
      <c r="U292" s="465">
        <f t="shared" si="32"/>
        <v>0</v>
      </c>
      <c r="V292" s="466"/>
      <c r="W292" s="467"/>
      <c r="X292" s="466"/>
      <c r="Y292" s="467"/>
      <c r="Z292" s="466"/>
      <c r="AA292" s="466"/>
      <c r="AB292" s="466"/>
      <c r="AC292" s="467"/>
      <c r="AD292" s="467"/>
      <c r="AE292" s="467"/>
      <c r="AF292" s="466"/>
      <c r="AG292" s="467"/>
    </row>
    <row r="293" spans="1:33" customFormat="1" ht="15" customHeight="1">
      <c r="A293" s="424" t="s">
        <v>280</v>
      </c>
      <c r="B293" s="355" t="s">
        <v>340</v>
      </c>
      <c r="C293" s="360"/>
      <c r="D293" s="358">
        <v>197850</v>
      </c>
      <c r="E293" s="358">
        <v>9</v>
      </c>
      <c r="F293" s="464">
        <f t="shared" si="29"/>
        <v>50230</v>
      </c>
      <c r="G293" s="465">
        <f t="shared" si="30"/>
        <v>51606</v>
      </c>
      <c r="H293" s="466">
        <v>19542</v>
      </c>
      <c r="I293" s="478">
        <v>16680</v>
      </c>
      <c r="J293" s="466">
        <v>2433</v>
      </c>
      <c r="K293" s="478">
        <v>1480</v>
      </c>
      <c r="L293" s="466">
        <v>28255</v>
      </c>
      <c r="M293" s="466">
        <v>0</v>
      </c>
      <c r="N293" s="466">
        <v>0</v>
      </c>
      <c r="O293" s="478">
        <v>33446</v>
      </c>
      <c r="P293" s="467">
        <v>0</v>
      </c>
      <c r="Q293" s="467">
        <v>0</v>
      </c>
      <c r="R293" s="466"/>
      <c r="S293" s="467"/>
      <c r="T293" s="464">
        <f t="shared" si="31"/>
        <v>0</v>
      </c>
      <c r="U293" s="465">
        <f t="shared" si="32"/>
        <v>0</v>
      </c>
      <c r="V293" s="466"/>
      <c r="W293" s="467"/>
      <c r="X293" s="466"/>
      <c r="Y293" s="467"/>
      <c r="Z293" s="466"/>
      <c r="AA293" s="466"/>
      <c r="AB293" s="466"/>
      <c r="AC293" s="467"/>
      <c r="AD293" s="467"/>
      <c r="AE293" s="467"/>
      <c r="AF293" s="466"/>
      <c r="AG293" s="467"/>
    </row>
    <row r="294" spans="1:33" customFormat="1" ht="15" customHeight="1">
      <c r="A294" s="424" t="s">
        <v>280</v>
      </c>
      <c r="B294" s="355" t="s">
        <v>343</v>
      </c>
      <c r="C294" s="356"/>
      <c r="D294" s="358">
        <v>199740</v>
      </c>
      <c r="E294" s="358">
        <v>9</v>
      </c>
      <c r="F294" s="464">
        <f t="shared" si="29"/>
        <v>50709</v>
      </c>
      <c r="G294" s="465">
        <f t="shared" si="30"/>
        <v>48314</v>
      </c>
      <c r="H294" s="466">
        <v>12009</v>
      </c>
      <c r="I294" s="478">
        <v>7936</v>
      </c>
      <c r="J294" s="466">
        <v>2831</v>
      </c>
      <c r="K294" s="481">
        <v>1369</v>
      </c>
      <c r="L294" s="466">
        <v>35869</v>
      </c>
      <c r="M294" s="466">
        <v>0</v>
      </c>
      <c r="N294" s="466">
        <v>0</v>
      </c>
      <c r="O294" s="478">
        <v>39009</v>
      </c>
      <c r="P294" s="467">
        <v>0</v>
      </c>
      <c r="Q294" s="467">
        <v>0</v>
      </c>
      <c r="R294" s="466"/>
      <c r="S294" s="467"/>
      <c r="T294" s="464">
        <f t="shared" si="31"/>
        <v>0</v>
      </c>
      <c r="U294" s="465">
        <f t="shared" si="32"/>
        <v>0</v>
      </c>
      <c r="V294" s="466"/>
      <c r="W294" s="467"/>
      <c r="X294" s="466"/>
      <c r="Y294" s="467"/>
      <c r="Z294" s="466"/>
      <c r="AA294" s="466"/>
      <c r="AB294" s="466"/>
      <c r="AC294" s="467"/>
      <c r="AD294" s="467"/>
      <c r="AE294" s="467"/>
      <c r="AF294" s="466"/>
      <c r="AG294" s="467"/>
    </row>
    <row r="295" spans="1:33" customFormat="1" ht="15" customHeight="1">
      <c r="A295" s="424" t="s">
        <v>280</v>
      </c>
      <c r="B295" s="355" t="s">
        <v>344</v>
      </c>
      <c r="C295" s="356"/>
      <c r="D295" s="358">
        <v>199768</v>
      </c>
      <c r="E295" s="358">
        <v>9</v>
      </c>
      <c r="F295" s="464">
        <f t="shared" si="29"/>
        <v>63103</v>
      </c>
      <c r="G295" s="465">
        <f t="shared" si="30"/>
        <v>63807</v>
      </c>
      <c r="H295" s="466">
        <v>38276</v>
      </c>
      <c r="I295" s="478">
        <v>29468</v>
      </c>
      <c r="J295" s="466">
        <v>1580</v>
      </c>
      <c r="K295" s="478">
        <v>1320</v>
      </c>
      <c r="L295" s="466">
        <v>23175</v>
      </c>
      <c r="M295" s="466">
        <v>72</v>
      </c>
      <c r="N295" s="466">
        <v>0</v>
      </c>
      <c r="O295" s="478">
        <v>33019</v>
      </c>
      <c r="P295" s="479">
        <v>0</v>
      </c>
      <c r="Q295" s="467">
        <v>0</v>
      </c>
      <c r="R295" s="466"/>
      <c r="S295" s="467"/>
      <c r="T295" s="464">
        <f t="shared" si="31"/>
        <v>0</v>
      </c>
      <c r="U295" s="465">
        <f t="shared" si="32"/>
        <v>0</v>
      </c>
      <c r="V295" s="466"/>
      <c r="W295" s="467"/>
      <c r="X295" s="466"/>
      <c r="Y295" s="467"/>
      <c r="Z295" s="466"/>
      <c r="AA295" s="466"/>
      <c r="AB295" s="466"/>
      <c r="AC295" s="467"/>
      <c r="AD295" s="467"/>
      <c r="AE295" s="467"/>
      <c r="AF295" s="466"/>
      <c r="AG295" s="467"/>
    </row>
    <row r="296" spans="1:33" customFormat="1" ht="15" customHeight="1">
      <c r="A296" s="424" t="s">
        <v>280</v>
      </c>
      <c r="B296" s="355" t="s">
        <v>346</v>
      </c>
      <c r="C296" s="356"/>
      <c r="D296" s="358">
        <v>199838</v>
      </c>
      <c r="E296" s="358">
        <v>9</v>
      </c>
      <c r="F296" s="464">
        <f t="shared" si="29"/>
        <v>56360</v>
      </c>
      <c r="G296" s="465">
        <f t="shared" si="30"/>
        <v>57594</v>
      </c>
      <c r="H296" s="466">
        <v>24032</v>
      </c>
      <c r="I296" s="481">
        <v>11515</v>
      </c>
      <c r="J296" s="466">
        <v>1102</v>
      </c>
      <c r="K296" s="478">
        <v>857</v>
      </c>
      <c r="L296" s="466">
        <v>31076</v>
      </c>
      <c r="M296" s="466">
        <v>150</v>
      </c>
      <c r="N296" s="466">
        <v>0</v>
      </c>
      <c r="O296" s="478">
        <v>45222</v>
      </c>
      <c r="P296" s="479">
        <v>0</v>
      </c>
      <c r="Q296" s="467">
        <v>0</v>
      </c>
      <c r="R296" s="466"/>
      <c r="S296" s="467"/>
      <c r="T296" s="464">
        <f t="shared" si="31"/>
        <v>0</v>
      </c>
      <c r="U296" s="465">
        <f t="shared" si="32"/>
        <v>0</v>
      </c>
      <c r="V296" s="466"/>
      <c r="W296" s="467"/>
      <c r="X296" s="466"/>
      <c r="Y296" s="467"/>
      <c r="Z296" s="466"/>
      <c r="AA296" s="466"/>
      <c r="AB296" s="466"/>
      <c r="AC296" s="467"/>
      <c r="AD296" s="467"/>
      <c r="AE296" s="467"/>
      <c r="AF296" s="466"/>
      <c r="AG296" s="467"/>
    </row>
    <row r="297" spans="1:33" customFormat="1" ht="15" customHeight="1">
      <c r="A297" s="424" t="s">
        <v>280</v>
      </c>
      <c r="B297" s="355" t="s">
        <v>348</v>
      </c>
      <c r="C297" s="356"/>
      <c r="D297" s="358">
        <v>199892</v>
      </c>
      <c r="E297" s="358">
        <v>9</v>
      </c>
      <c r="F297" s="464">
        <f t="shared" si="29"/>
        <v>70678</v>
      </c>
      <c r="G297" s="465">
        <f t="shared" si="30"/>
        <v>69015</v>
      </c>
      <c r="H297" s="466">
        <v>33813</v>
      </c>
      <c r="I297" s="481">
        <v>16384</v>
      </c>
      <c r="J297" s="466">
        <v>330</v>
      </c>
      <c r="K297" s="481">
        <v>147</v>
      </c>
      <c r="L297" s="466">
        <v>36535</v>
      </c>
      <c r="M297" s="466">
        <v>0</v>
      </c>
      <c r="N297" s="466">
        <v>0</v>
      </c>
      <c r="O297" s="478">
        <v>52484</v>
      </c>
      <c r="P297" s="467">
        <v>0</v>
      </c>
      <c r="Q297" s="467">
        <v>0</v>
      </c>
      <c r="R297" s="466"/>
      <c r="S297" s="467"/>
      <c r="T297" s="464">
        <f t="shared" si="31"/>
        <v>0</v>
      </c>
      <c r="U297" s="465">
        <f t="shared" si="32"/>
        <v>0</v>
      </c>
      <c r="V297" s="466"/>
      <c r="W297" s="467"/>
      <c r="X297" s="466"/>
      <c r="Y297" s="467"/>
      <c r="Z297" s="466"/>
      <c r="AA297" s="466"/>
      <c r="AB297" s="466"/>
      <c r="AC297" s="467"/>
      <c r="AD297" s="467"/>
      <c r="AE297" s="467"/>
      <c r="AF297" s="466"/>
      <c r="AG297" s="467"/>
    </row>
    <row r="298" spans="1:33" customFormat="1" ht="15" customHeight="1">
      <c r="A298" s="424" t="s">
        <v>280</v>
      </c>
      <c r="B298" s="355" t="s">
        <v>350</v>
      </c>
      <c r="C298" s="356"/>
      <c r="D298" s="358">
        <v>199926</v>
      </c>
      <c r="E298" s="358">
        <v>9</v>
      </c>
      <c r="F298" s="464">
        <f t="shared" si="29"/>
        <v>53428</v>
      </c>
      <c r="G298" s="465">
        <f t="shared" si="30"/>
        <v>53312</v>
      </c>
      <c r="H298" s="466">
        <v>27215</v>
      </c>
      <c r="I298" s="478">
        <v>15595</v>
      </c>
      <c r="J298" s="466">
        <v>7481</v>
      </c>
      <c r="K298" s="478">
        <v>7043</v>
      </c>
      <c r="L298" s="466">
        <v>18717</v>
      </c>
      <c r="M298" s="466">
        <v>15</v>
      </c>
      <c r="N298" s="466">
        <v>0</v>
      </c>
      <c r="O298" s="481">
        <v>30674</v>
      </c>
      <c r="P298" s="479">
        <v>0</v>
      </c>
      <c r="Q298" s="467">
        <v>0</v>
      </c>
      <c r="R298" s="466"/>
      <c r="S298" s="467"/>
      <c r="T298" s="464">
        <f t="shared" si="31"/>
        <v>0</v>
      </c>
      <c r="U298" s="465">
        <f t="shared" si="32"/>
        <v>0</v>
      </c>
      <c r="V298" s="466"/>
      <c r="W298" s="467"/>
      <c r="X298" s="466"/>
      <c r="Y298" s="467"/>
      <c r="Z298" s="466"/>
      <c r="AA298" s="466"/>
      <c r="AB298" s="466"/>
      <c r="AC298" s="467"/>
      <c r="AD298" s="467"/>
      <c r="AE298" s="467"/>
      <c r="AF298" s="466"/>
      <c r="AG298" s="467"/>
    </row>
    <row r="299" spans="1:33" customFormat="1" ht="15" customHeight="1">
      <c r="A299" s="424" t="s">
        <v>280</v>
      </c>
      <c r="B299" s="355" t="s">
        <v>298</v>
      </c>
      <c r="C299" s="356"/>
      <c r="D299" s="358">
        <v>197966</v>
      </c>
      <c r="E299" s="358">
        <v>10</v>
      </c>
      <c r="F299" s="464">
        <f t="shared" si="29"/>
        <v>30983</v>
      </c>
      <c r="G299" s="465">
        <f t="shared" si="30"/>
        <v>30327</v>
      </c>
      <c r="H299" s="466">
        <v>11974</v>
      </c>
      <c r="I299" s="478">
        <v>8565</v>
      </c>
      <c r="J299" s="466">
        <v>1639</v>
      </c>
      <c r="K299" s="478">
        <v>1325</v>
      </c>
      <c r="L299" s="466">
        <v>16963</v>
      </c>
      <c r="M299" s="466">
        <v>407</v>
      </c>
      <c r="N299" s="466">
        <v>0</v>
      </c>
      <c r="O299" s="478">
        <v>20437</v>
      </c>
      <c r="P299" s="479">
        <v>0</v>
      </c>
      <c r="Q299" s="467">
        <v>0</v>
      </c>
      <c r="R299" s="466"/>
      <c r="S299" s="467"/>
      <c r="T299" s="464">
        <f t="shared" si="31"/>
        <v>0</v>
      </c>
      <c r="U299" s="465">
        <f t="shared" si="32"/>
        <v>0</v>
      </c>
      <c r="V299" s="466"/>
      <c r="W299" s="467"/>
      <c r="X299" s="466"/>
      <c r="Y299" s="467"/>
      <c r="Z299" s="466"/>
      <c r="AA299" s="466"/>
      <c r="AB299" s="466"/>
      <c r="AC299" s="467"/>
      <c r="AD299" s="467"/>
      <c r="AE299" s="467"/>
      <c r="AF299" s="466"/>
      <c r="AG299" s="467"/>
    </row>
    <row r="300" spans="1:33" customFormat="1" ht="15" customHeight="1">
      <c r="A300" s="424" t="s">
        <v>280</v>
      </c>
      <c r="B300" s="355" t="s">
        <v>299</v>
      </c>
      <c r="C300" s="356"/>
      <c r="D300" s="358">
        <v>198011</v>
      </c>
      <c r="E300" s="358">
        <v>10</v>
      </c>
      <c r="F300" s="464">
        <f t="shared" si="29"/>
        <v>27615</v>
      </c>
      <c r="G300" s="465">
        <f t="shared" si="30"/>
        <v>25178</v>
      </c>
      <c r="H300" s="466">
        <v>11008</v>
      </c>
      <c r="I300" s="478">
        <v>6371</v>
      </c>
      <c r="J300" s="466">
        <v>772</v>
      </c>
      <c r="K300" s="481">
        <v>176</v>
      </c>
      <c r="L300" s="466">
        <v>15392</v>
      </c>
      <c r="M300" s="466">
        <v>443</v>
      </c>
      <c r="N300" s="466">
        <v>0</v>
      </c>
      <c r="O300" s="478">
        <v>18631</v>
      </c>
      <c r="P300" s="479">
        <v>0</v>
      </c>
      <c r="Q300" s="467">
        <v>0</v>
      </c>
      <c r="R300" s="466"/>
      <c r="S300" s="467"/>
      <c r="T300" s="464">
        <f t="shared" si="31"/>
        <v>0</v>
      </c>
      <c r="U300" s="465">
        <f t="shared" si="32"/>
        <v>0</v>
      </c>
      <c r="V300" s="466"/>
      <c r="W300" s="467"/>
      <c r="X300" s="466"/>
      <c r="Y300" s="467"/>
      <c r="Z300" s="466"/>
      <c r="AA300" s="466"/>
      <c r="AB300" s="466"/>
      <c r="AC300" s="467"/>
      <c r="AD300" s="467"/>
      <c r="AE300" s="467"/>
      <c r="AF300" s="466"/>
      <c r="AG300" s="467"/>
    </row>
    <row r="301" spans="1:33" customFormat="1" ht="15" customHeight="1">
      <c r="A301" s="424" t="s">
        <v>280</v>
      </c>
      <c r="B301" s="355" t="s">
        <v>300</v>
      </c>
      <c r="C301" s="356"/>
      <c r="D301" s="358">
        <v>198039</v>
      </c>
      <c r="E301" s="358">
        <v>10</v>
      </c>
      <c r="F301" s="464">
        <f t="shared" si="29"/>
        <v>42337</v>
      </c>
      <c r="G301" s="465">
        <f t="shared" si="30"/>
        <v>45937</v>
      </c>
      <c r="H301" s="466">
        <v>19834</v>
      </c>
      <c r="I301" s="478">
        <v>17447</v>
      </c>
      <c r="J301" s="466">
        <v>2590</v>
      </c>
      <c r="K301" s="478">
        <v>2820</v>
      </c>
      <c r="L301" s="466">
        <v>18509</v>
      </c>
      <c r="M301" s="466">
        <v>1404</v>
      </c>
      <c r="N301" s="466">
        <v>0</v>
      </c>
      <c r="O301" s="478">
        <v>25670</v>
      </c>
      <c r="P301" s="479">
        <v>0</v>
      </c>
      <c r="Q301" s="467">
        <v>0</v>
      </c>
      <c r="R301" s="466"/>
      <c r="S301" s="467"/>
      <c r="T301" s="464">
        <f t="shared" si="31"/>
        <v>0</v>
      </c>
      <c r="U301" s="465">
        <f t="shared" si="32"/>
        <v>0</v>
      </c>
      <c r="V301" s="466"/>
      <c r="W301" s="467"/>
      <c r="X301" s="466"/>
      <c r="Y301" s="467"/>
      <c r="Z301" s="466"/>
      <c r="AA301" s="466"/>
      <c r="AB301" s="466"/>
      <c r="AC301" s="467"/>
      <c r="AD301" s="467"/>
      <c r="AE301" s="467"/>
      <c r="AF301" s="466"/>
      <c r="AG301" s="467"/>
    </row>
    <row r="302" spans="1:33" customFormat="1" ht="15" customHeight="1">
      <c r="A302" s="424" t="s">
        <v>280</v>
      </c>
      <c r="B302" s="355" t="s">
        <v>301</v>
      </c>
      <c r="C302" s="356"/>
      <c r="D302" s="358">
        <v>198084</v>
      </c>
      <c r="E302" s="358">
        <v>10</v>
      </c>
      <c r="F302" s="464">
        <f t="shared" si="29"/>
        <v>32579</v>
      </c>
      <c r="G302" s="465">
        <f t="shared" si="30"/>
        <v>33214</v>
      </c>
      <c r="H302" s="466">
        <v>16749</v>
      </c>
      <c r="I302" s="481">
        <v>8095</v>
      </c>
      <c r="J302" s="466">
        <v>249</v>
      </c>
      <c r="K302" s="480">
        <v>820</v>
      </c>
      <c r="L302" s="466">
        <v>15572</v>
      </c>
      <c r="M302" s="466">
        <v>9</v>
      </c>
      <c r="N302" s="466">
        <v>0</v>
      </c>
      <c r="O302" s="481">
        <v>24299</v>
      </c>
      <c r="P302" s="479">
        <v>0</v>
      </c>
      <c r="Q302" s="467">
        <v>0</v>
      </c>
      <c r="R302" s="466"/>
      <c r="S302" s="467"/>
      <c r="T302" s="464">
        <f t="shared" si="31"/>
        <v>0</v>
      </c>
      <c r="U302" s="465">
        <f t="shared" si="32"/>
        <v>0</v>
      </c>
      <c r="V302" s="466"/>
      <c r="W302" s="467"/>
      <c r="X302" s="466"/>
      <c r="Y302" s="467"/>
      <c r="Z302" s="466"/>
      <c r="AA302" s="466"/>
      <c r="AB302" s="466"/>
      <c r="AC302" s="467"/>
      <c r="AD302" s="467"/>
      <c r="AE302" s="467"/>
      <c r="AF302" s="466"/>
      <c r="AG302" s="467"/>
    </row>
    <row r="303" spans="1:33" customFormat="1" ht="15" customHeight="1">
      <c r="A303" s="424" t="s">
        <v>280</v>
      </c>
      <c r="B303" s="355" t="s">
        <v>304</v>
      </c>
      <c r="C303" s="356"/>
      <c r="D303" s="358">
        <v>198206</v>
      </c>
      <c r="E303" s="358">
        <v>10</v>
      </c>
      <c r="F303" s="464">
        <f t="shared" si="29"/>
        <v>31688</v>
      </c>
      <c r="G303" s="465">
        <f t="shared" si="30"/>
        <v>29328.5</v>
      </c>
      <c r="H303" s="466">
        <v>15531</v>
      </c>
      <c r="I303" s="478">
        <v>12878.5</v>
      </c>
      <c r="J303" s="466">
        <v>1075</v>
      </c>
      <c r="K303" s="478">
        <v>1127</v>
      </c>
      <c r="L303" s="466">
        <v>15082</v>
      </c>
      <c r="M303" s="466">
        <v>0</v>
      </c>
      <c r="N303" s="466">
        <v>0</v>
      </c>
      <c r="O303" s="478">
        <v>15323</v>
      </c>
      <c r="P303" s="467">
        <v>0</v>
      </c>
      <c r="Q303" s="467">
        <v>0</v>
      </c>
      <c r="R303" s="466"/>
      <c r="S303" s="467"/>
      <c r="T303" s="464">
        <f t="shared" si="31"/>
        <v>0</v>
      </c>
      <c r="U303" s="465">
        <f t="shared" si="32"/>
        <v>0</v>
      </c>
      <c r="V303" s="466"/>
      <c r="W303" s="467"/>
      <c r="X303" s="466"/>
      <c r="Y303" s="467"/>
      <c r="Z303" s="466"/>
      <c r="AA303" s="466"/>
      <c r="AB303" s="466"/>
      <c r="AC303" s="467"/>
      <c r="AD303" s="467"/>
      <c r="AE303" s="467"/>
      <c r="AF303" s="466"/>
      <c r="AG303" s="467"/>
    </row>
    <row r="304" spans="1:33" customFormat="1" ht="15" customHeight="1">
      <c r="A304" s="424" t="s">
        <v>280</v>
      </c>
      <c r="B304" s="355" t="s">
        <v>767</v>
      </c>
      <c r="C304" s="356" t="s">
        <v>733</v>
      </c>
      <c r="D304" s="358">
        <v>197814</v>
      </c>
      <c r="E304" s="358">
        <v>10</v>
      </c>
      <c r="F304" s="464">
        <f t="shared" si="29"/>
        <v>53321</v>
      </c>
      <c r="G304" s="465">
        <f t="shared" si="30"/>
        <v>52580</v>
      </c>
      <c r="H304" s="466">
        <v>18519</v>
      </c>
      <c r="I304" s="478">
        <v>11439</v>
      </c>
      <c r="J304" s="466">
        <v>4511</v>
      </c>
      <c r="K304" s="478">
        <v>3480</v>
      </c>
      <c r="L304" s="466">
        <v>30291</v>
      </c>
      <c r="M304" s="466">
        <v>0</v>
      </c>
      <c r="N304" s="466">
        <v>0</v>
      </c>
      <c r="O304" s="478">
        <v>37661</v>
      </c>
      <c r="P304" s="467">
        <v>0</v>
      </c>
      <c r="Q304" s="467">
        <v>0</v>
      </c>
      <c r="R304" s="466"/>
      <c r="S304" s="467"/>
      <c r="T304" s="464">
        <f t="shared" si="31"/>
        <v>0</v>
      </c>
      <c r="U304" s="465">
        <f t="shared" si="32"/>
        <v>0</v>
      </c>
      <c r="V304" s="466"/>
      <c r="W304" s="467"/>
      <c r="X304" s="466"/>
      <c r="Y304" s="467"/>
      <c r="Z304" s="466"/>
      <c r="AA304" s="466"/>
      <c r="AB304" s="466"/>
      <c r="AC304" s="467"/>
      <c r="AD304" s="467"/>
      <c r="AE304" s="467"/>
      <c r="AF304" s="466"/>
      <c r="AG304" s="467"/>
    </row>
    <row r="305" spans="1:33" customFormat="1" ht="15" customHeight="1">
      <c r="A305" s="424" t="s">
        <v>280</v>
      </c>
      <c r="B305" s="355" t="s">
        <v>312</v>
      </c>
      <c r="C305" s="360"/>
      <c r="D305" s="358">
        <v>198491</v>
      </c>
      <c r="E305" s="358">
        <v>10</v>
      </c>
      <c r="F305" s="464">
        <f t="shared" si="29"/>
        <v>40430</v>
      </c>
      <c r="G305" s="465">
        <f t="shared" si="30"/>
        <v>34505</v>
      </c>
      <c r="H305" s="466">
        <v>17043</v>
      </c>
      <c r="I305" s="478">
        <v>11159</v>
      </c>
      <c r="J305" s="466">
        <v>2108</v>
      </c>
      <c r="K305" s="478">
        <v>1750</v>
      </c>
      <c r="L305" s="466">
        <v>21279</v>
      </c>
      <c r="M305" s="466">
        <v>0</v>
      </c>
      <c r="N305" s="466">
        <v>0</v>
      </c>
      <c r="O305" s="478">
        <v>21596</v>
      </c>
      <c r="P305" s="467">
        <v>0</v>
      </c>
      <c r="Q305" s="467">
        <v>0</v>
      </c>
      <c r="R305" s="466"/>
      <c r="S305" s="467"/>
      <c r="T305" s="464">
        <f t="shared" si="31"/>
        <v>0</v>
      </c>
      <c r="U305" s="465">
        <f t="shared" si="32"/>
        <v>0</v>
      </c>
      <c r="V305" s="466"/>
      <c r="W305" s="467"/>
      <c r="X305" s="466"/>
      <c r="Y305" s="467"/>
      <c r="Z305" s="466"/>
      <c r="AA305" s="466"/>
      <c r="AB305" s="466"/>
      <c r="AC305" s="467"/>
      <c r="AD305" s="467"/>
      <c r="AE305" s="467"/>
      <c r="AF305" s="466"/>
      <c r="AG305" s="467"/>
    </row>
    <row r="306" spans="1:33" customFormat="1" ht="15" customHeight="1">
      <c r="A306" s="424" t="s">
        <v>280</v>
      </c>
      <c r="B306" s="355" t="s">
        <v>317</v>
      </c>
      <c r="C306" s="356"/>
      <c r="D306" s="358">
        <v>198640</v>
      </c>
      <c r="E306" s="358">
        <v>10</v>
      </c>
      <c r="F306" s="464">
        <f t="shared" si="29"/>
        <v>20721</v>
      </c>
      <c r="G306" s="465">
        <f t="shared" si="30"/>
        <v>19451</v>
      </c>
      <c r="H306" s="466">
        <v>7398</v>
      </c>
      <c r="I306" s="478">
        <v>7452</v>
      </c>
      <c r="J306" s="466">
        <v>2419</v>
      </c>
      <c r="K306" s="478">
        <v>1287</v>
      </c>
      <c r="L306" s="466">
        <v>10889</v>
      </c>
      <c r="M306" s="466">
        <v>15</v>
      </c>
      <c r="N306" s="466">
        <v>0</v>
      </c>
      <c r="O306" s="478">
        <v>10712</v>
      </c>
      <c r="P306" s="479">
        <v>0</v>
      </c>
      <c r="Q306" s="467">
        <v>0</v>
      </c>
      <c r="R306" s="466"/>
      <c r="S306" s="467"/>
      <c r="T306" s="464">
        <f t="shared" si="31"/>
        <v>0</v>
      </c>
      <c r="U306" s="465">
        <f t="shared" si="32"/>
        <v>0</v>
      </c>
      <c r="V306" s="466"/>
      <c r="W306" s="467"/>
      <c r="X306" s="466"/>
      <c r="Y306" s="467"/>
      <c r="Z306" s="466"/>
      <c r="AA306" s="466"/>
      <c r="AB306" s="466"/>
      <c r="AC306" s="467"/>
      <c r="AD306" s="467"/>
      <c r="AE306" s="467"/>
      <c r="AF306" s="466"/>
      <c r="AG306" s="467"/>
    </row>
    <row r="307" spans="1:33" customFormat="1" ht="15" customHeight="1">
      <c r="A307" s="424" t="s">
        <v>280</v>
      </c>
      <c r="B307" s="355" t="s">
        <v>318</v>
      </c>
      <c r="C307" s="360"/>
      <c r="D307" s="358">
        <v>198668</v>
      </c>
      <c r="E307" s="358">
        <v>10</v>
      </c>
      <c r="F307" s="464">
        <f t="shared" si="29"/>
        <v>32073</v>
      </c>
      <c r="G307" s="465">
        <f t="shared" si="30"/>
        <v>30774</v>
      </c>
      <c r="H307" s="466">
        <v>16871</v>
      </c>
      <c r="I307" s="478">
        <v>8723</v>
      </c>
      <c r="J307" s="466">
        <v>1005</v>
      </c>
      <c r="K307" s="480">
        <v>2431</v>
      </c>
      <c r="L307" s="466">
        <v>14197</v>
      </c>
      <c r="M307" s="466">
        <v>0</v>
      </c>
      <c r="N307" s="466">
        <v>0</v>
      </c>
      <c r="O307" s="478">
        <v>19620</v>
      </c>
      <c r="P307" s="467">
        <v>0</v>
      </c>
      <c r="Q307" s="467">
        <v>0</v>
      </c>
      <c r="R307" s="466"/>
      <c r="S307" s="467"/>
      <c r="T307" s="464">
        <f t="shared" si="31"/>
        <v>0</v>
      </c>
      <c r="U307" s="465">
        <f t="shared" si="32"/>
        <v>0</v>
      </c>
      <c r="V307" s="466"/>
      <c r="W307" s="467"/>
      <c r="X307" s="466"/>
      <c r="Y307" s="467"/>
      <c r="Z307" s="466"/>
      <c r="AA307" s="466"/>
      <c r="AB307" s="466"/>
      <c r="AC307" s="467"/>
      <c r="AD307" s="467"/>
      <c r="AE307" s="467"/>
      <c r="AF307" s="466"/>
      <c r="AG307" s="467"/>
    </row>
    <row r="308" spans="1:33" customFormat="1" ht="15" customHeight="1">
      <c r="A308" s="424" t="s">
        <v>280</v>
      </c>
      <c r="B308" s="355" t="s">
        <v>319</v>
      </c>
      <c r="C308" s="360"/>
      <c r="D308" s="358">
        <v>198710</v>
      </c>
      <c r="E308" s="358">
        <v>10</v>
      </c>
      <c r="F308" s="464">
        <f t="shared" si="29"/>
        <v>43635</v>
      </c>
      <c r="G308" s="465">
        <f t="shared" si="30"/>
        <v>45703</v>
      </c>
      <c r="H308" s="466">
        <v>14197</v>
      </c>
      <c r="I308" s="478">
        <v>11684</v>
      </c>
      <c r="J308" s="466">
        <v>4296</v>
      </c>
      <c r="K308" s="478">
        <v>3153</v>
      </c>
      <c r="L308" s="466">
        <v>25142</v>
      </c>
      <c r="M308" s="466">
        <v>0</v>
      </c>
      <c r="N308" s="466">
        <v>0</v>
      </c>
      <c r="O308" s="478">
        <v>30866</v>
      </c>
      <c r="P308" s="467">
        <v>0</v>
      </c>
      <c r="Q308" s="467">
        <v>0</v>
      </c>
      <c r="R308" s="466"/>
      <c r="S308" s="467"/>
      <c r="T308" s="464">
        <f t="shared" si="31"/>
        <v>0</v>
      </c>
      <c r="U308" s="465">
        <f t="shared" si="32"/>
        <v>0</v>
      </c>
      <c r="V308" s="466"/>
      <c r="W308" s="467"/>
      <c r="X308" s="466"/>
      <c r="Y308" s="467"/>
      <c r="Z308" s="466"/>
      <c r="AA308" s="466"/>
      <c r="AB308" s="466"/>
      <c r="AC308" s="467"/>
      <c r="AD308" s="467"/>
      <c r="AE308" s="467"/>
      <c r="AF308" s="466"/>
      <c r="AG308" s="467"/>
    </row>
    <row r="309" spans="1:33" customFormat="1" ht="15" customHeight="1">
      <c r="A309" s="424" t="s">
        <v>280</v>
      </c>
      <c r="B309" s="355" t="s">
        <v>320</v>
      </c>
      <c r="C309" s="356"/>
      <c r="D309" s="358">
        <v>198729</v>
      </c>
      <c r="E309" s="358">
        <v>10</v>
      </c>
      <c r="F309" s="464">
        <f t="shared" si="29"/>
        <v>25516</v>
      </c>
      <c r="G309" s="465">
        <f t="shared" si="30"/>
        <v>25678</v>
      </c>
      <c r="H309" s="466">
        <v>10802</v>
      </c>
      <c r="I309" s="478">
        <v>5636</v>
      </c>
      <c r="J309" s="466">
        <v>277</v>
      </c>
      <c r="K309" s="481">
        <v>439</v>
      </c>
      <c r="L309" s="466">
        <v>13931</v>
      </c>
      <c r="M309" s="466">
        <v>506</v>
      </c>
      <c r="N309" s="466">
        <v>0</v>
      </c>
      <c r="O309" s="478">
        <v>19603</v>
      </c>
      <c r="P309" s="479">
        <v>0</v>
      </c>
      <c r="Q309" s="467">
        <v>0</v>
      </c>
      <c r="R309" s="466"/>
      <c r="S309" s="467"/>
      <c r="T309" s="464">
        <f t="shared" si="31"/>
        <v>0</v>
      </c>
      <c r="U309" s="465">
        <f t="shared" si="32"/>
        <v>0</v>
      </c>
      <c r="V309" s="466"/>
      <c r="W309" s="467"/>
      <c r="X309" s="466"/>
      <c r="Y309" s="467"/>
      <c r="Z309" s="466"/>
      <c r="AA309" s="466"/>
      <c r="AB309" s="466"/>
      <c r="AC309" s="467"/>
      <c r="AD309" s="467"/>
      <c r="AE309" s="467"/>
      <c r="AF309" s="466"/>
      <c r="AG309" s="467"/>
    </row>
    <row r="310" spans="1:33" customFormat="1" ht="15" customHeight="1">
      <c r="A310" s="424" t="s">
        <v>280</v>
      </c>
      <c r="B310" s="355" t="s">
        <v>323</v>
      </c>
      <c r="C310" s="356"/>
      <c r="D310" s="358">
        <v>198905</v>
      </c>
      <c r="E310" s="358">
        <v>10</v>
      </c>
      <c r="F310" s="464">
        <f t="shared" si="29"/>
        <v>15682</v>
      </c>
      <c r="G310" s="465">
        <f t="shared" si="30"/>
        <v>17669</v>
      </c>
      <c r="H310" s="466">
        <v>5404</v>
      </c>
      <c r="I310" s="478">
        <v>4926</v>
      </c>
      <c r="J310" s="466">
        <v>257</v>
      </c>
      <c r="K310" s="478">
        <v>200</v>
      </c>
      <c r="L310" s="466">
        <v>10021</v>
      </c>
      <c r="M310" s="466">
        <v>0</v>
      </c>
      <c r="N310" s="466">
        <v>0</v>
      </c>
      <c r="O310" s="478">
        <v>12543</v>
      </c>
      <c r="P310" s="467">
        <v>0</v>
      </c>
      <c r="Q310" s="467">
        <v>0</v>
      </c>
      <c r="R310" s="466"/>
      <c r="S310" s="467"/>
      <c r="T310" s="464">
        <f t="shared" si="31"/>
        <v>0</v>
      </c>
      <c r="U310" s="465">
        <f t="shared" si="32"/>
        <v>0</v>
      </c>
      <c r="V310" s="466"/>
      <c r="W310" s="467"/>
      <c r="X310" s="466"/>
      <c r="Y310" s="467"/>
      <c r="Z310" s="466"/>
      <c r="AA310" s="466"/>
      <c r="AB310" s="466"/>
      <c r="AC310" s="467"/>
      <c r="AD310" s="467"/>
      <c r="AE310" s="467"/>
      <c r="AF310" s="466"/>
      <c r="AG310" s="467"/>
    </row>
    <row r="311" spans="1:33" customFormat="1" ht="15" customHeight="1">
      <c r="A311" s="424" t="s">
        <v>280</v>
      </c>
      <c r="B311" s="355" t="s">
        <v>324</v>
      </c>
      <c r="C311" s="356"/>
      <c r="D311" s="358">
        <v>198914</v>
      </c>
      <c r="E311" s="358">
        <v>10</v>
      </c>
      <c r="F311" s="464">
        <f t="shared" si="29"/>
        <v>19215</v>
      </c>
      <c r="G311" s="465">
        <f t="shared" si="30"/>
        <v>17904</v>
      </c>
      <c r="H311" s="466">
        <v>8383</v>
      </c>
      <c r="I311" s="478">
        <v>5755</v>
      </c>
      <c r="J311" s="466">
        <v>3033</v>
      </c>
      <c r="K311" s="478">
        <v>1595</v>
      </c>
      <c r="L311" s="466">
        <v>7799</v>
      </c>
      <c r="M311" s="466">
        <v>0</v>
      </c>
      <c r="N311" s="466">
        <v>0</v>
      </c>
      <c r="O311" s="478">
        <v>10554</v>
      </c>
      <c r="P311" s="467">
        <v>0</v>
      </c>
      <c r="Q311" s="467">
        <v>0</v>
      </c>
      <c r="R311" s="466"/>
      <c r="S311" s="467"/>
      <c r="T311" s="464">
        <f t="shared" si="31"/>
        <v>0</v>
      </c>
      <c r="U311" s="465">
        <f t="shared" si="32"/>
        <v>0</v>
      </c>
      <c r="V311" s="466"/>
      <c r="W311" s="467"/>
      <c r="X311" s="466"/>
      <c r="Y311" s="467"/>
      <c r="Z311" s="466"/>
      <c r="AA311" s="466"/>
      <c r="AB311" s="466"/>
      <c r="AC311" s="467"/>
      <c r="AD311" s="467"/>
      <c r="AE311" s="467"/>
      <c r="AF311" s="466"/>
      <c r="AG311" s="467"/>
    </row>
    <row r="312" spans="1:33" customFormat="1" ht="15" customHeight="1">
      <c r="A312" s="424" t="s">
        <v>280</v>
      </c>
      <c r="B312" s="355" t="s">
        <v>325</v>
      </c>
      <c r="C312" s="356"/>
      <c r="D312" s="358">
        <v>198923</v>
      </c>
      <c r="E312" s="358">
        <v>10</v>
      </c>
      <c r="F312" s="464">
        <f t="shared" si="29"/>
        <v>20973</v>
      </c>
      <c r="G312" s="465">
        <f t="shared" si="30"/>
        <v>20665</v>
      </c>
      <c r="H312" s="466">
        <v>12338</v>
      </c>
      <c r="I312" s="478">
        <v>8747</v>
      </c>
      <c r="J312" s="466">
        <v>424</v>
      </c>
      <c r="K312" s="481">
        <v>42</v>
      </c>
      <c r="L312" s="466">
        <v>8148</v>
      </c>
      <c r="M312" s="466">
        <v>63</v>
      </c>
      <c r="N312" s="466">
        <v>0</v>
      </c>
      <c r="O312" s="478">
        <v>11876</v>
      </c>
      <c r="P312" s="479">
        <v>0</v>
      </c>
      <c r="Q312" s="467">
        <v>0</v>
      </c>
      <c r="R312" s="466"/>
      <c r="S312" s="467"/>
      <c r="T312" s="464">
        <f t="shared" si="31"/>
        <v>0</v>
      </c>
      <c r="U312" s="465">
        <f t="shared" si="32"/>
        <v>0</v>
      </c>
      <c r="V312" s="466"/>
      <c r="W312" s="467"/>
      <c r="X312" s="466"/>
      <c r="Y312" s="467"/>
      <c r="Z312" s="466"/>
      <c r="AA312" s="466"/>
      <c r="AB312" s="466"/>
      <c r="AC312" s="467"/>
      <c r="AD312" s="467"/>
      <c r="AE312" s="467"/>
      <c r="AF312" s="466"/>
      <c r="AG312" s="467"/>
    </row>
    <row r="313" spans="1:33" customFormat="1" ht="15" customHeight="1">
      <c r="A313" s="424" t="s">
        <v>280</v>
      </c>
      <c r="B313" s="355" t="s">
        <v>327</v>
      </c>
      <c r="C313" s="356"/>
      <c r="D313" s="358">
        <v>199023</v>
      </c>
      <c r="E313" s="358">
        <v>10</v>
      </c>
      <c r="F313" s="464">
        <f t="shared" si="29"/>
        <v>18090</v>
      </c>
      <c r="G313" s="465">
        <f t="shared" si="30"/>
        <v>17392</v>
      </c>
      <c r="H313" s="466">
        <v>10885</v>
      </c>
      <c r="I313" s="478">
        <v>9421</v>
      </c>
      <c r="J313" s="466">
        <v>364</v>
      </c>
      <c r="K313" s="481">
        <v>667</v>
      </c>
      <c r="L313" s="466">
        <v>6841</v>
      </c>
      <c r="M313" s="466">
        <v>0</v>
      </c>
      <c r="N313" s="466">
        <v>0</v>
      </c>
      <c r="O313" s="478">
        <v>7304</v>
      </c>
      <c r="P313" s="467">
        <v>0</v>
      </c>
      <c r="Q313" s="467">
        <v>0</v>
      </c>
      <c r="R313" s="466"/>
      <c r="S313" s="467"/>
      <c r="T313" s="464">
        <f t="shared" si="31"/>
        <v>0</v>
      </c>
      <c r="U313" s="465">
        <f t="shared" si="32"/>
        <v>0</v>
      </c>
      <c r="V313" s="466"/>
      <c r="W313" s="467"/>
      <c r="X313" s="466"/>
      <c r="Y313" s="467"/>
      <c r="Z313" s="466"/>
      <c r="AA313" s="466"/>
      <c r="AB313" s="466"/>
      <c r="AC313" s="467"/>
      <c r="AD313" s="467"/>
      <c r="AE313" s="467"/>
      <c r="AF313" s="466"/>
      <c r="AG313" s="467"/>
    </row>
    <row r="314" spans="1:33" customFormat="1" ht="15" customHeight="1">
      <c r="A314" s="424" t="s">
        <v>280</v>
      </c>
      <c r="B314" s="355" t="s">
        <v>329</v>
      </c>
      <c r="C314" s="356"/>
      <c r="D314" s="358">
        <v>199263</v>
      </c>
      <c r="E314" s="358">
        <v>10</v>
      </c>
      <c r="F314" s="464">
        <f t="shared" si="29"/>
        <v>10636</v>
      </c>
      <c r="G314" s="465">
        <f t="shared" si="30"/>
        <v>11055</v>
      </c>
      <c r="H314" s="466">
        <v>1302</v>
      </c>
      <c r="I314" s="478">
        <v>968</v>
      </c>
      <c r="J314" s="466">
        <v>3551</v>
      </c>
      <c r="K314" s="478">
        <v>4233</v>
      </c>
      <c r="L314" s="466">
        <v>5783</v>
      </c>
      <c r="M314" s="466">
        <v>0</v>
      </c>
      <c r="N314" s="466">
        <v>0</v>
      </c>
      <c r="O314" s="478">
        <v>5854</v>
      </c>
      <c r="P314" s="467">
        <v>0</v>
      </c>
      <c r="Q314" s="467">
        <v>0</v>
      </c>
      <c r="R314" s="466"/>
      <c r="S314" s="467"/>
      <c r="T314" s="464">
        <f t="shared" si="31"/>
        <v>0</v>
      </c>
      <c r="U314" s="465">
        <f t="shared" si="32"/>
        <v>0</v>
      </c>
      <c r="V314" s="466"/>
      <c r="W314" s="467"/>
      <c r="X314" s="466"/>
      <c r="Y314" s="467"/>
      <c r="Z314" s="466"/>
      <c r="AA314" s="466"/>
      <c r="AB314" s="466"/>
      <c r="AC314" s="467"/>
      <c r="AD314" s="467"/>
      <c r="AE314" s="467"/>
      <c r="AF314" s="466"/>
      <c r="AG314" s="467"/>
    </row>
    <row r="315" spans="1:33" customFormat="1" ht="15" customHeight="1">
      <c r="A315" s="424" t="s">
        <v>280</v>
      </c>
      <c r="B315" s="355" t="s">
        <v>330</v>
      </c>
      <c r="C315" s="356"/>
      <c r="D315" s="358">
        <v>199324</v>
      </c>
      <c r="E315" s="358">
        <v>10</v>
      </c>
      <c r="F315" s="464">
        <f t="shared" si="29"/>
        <v>23736</v>
      </c>
      <c r="G315" s="465">
        <f t="shared" si="30"/>
        <v>24460.5</v>
      </c>
      <c r="H315" s="466">
        <v>9047</v>
      </c>
      <c r="I315" s="478">
        <v>10449.5</v>
      </c>
      <c r="J315" s="466">
        <v>903</v>
      </c>
      <c r="K315" s="481">
        <v>106</v>
      </c>
      <c r="L315" s="466">
        <v>13717</v>
      </c>
      <c r="M315" s="466">
        <v>69</v>
      </c>
      <c r="N315" s="466">
        <v>0</v>
      </c>
      <c r="O315" s="478">
        <v>13905</v>
      </c>
      <c r="P315" s="479">
        <v>0</v>
      </c>
      <c r="Q315" s="467">
        <v>0</v>
      </c>
      <c r="R315" s="466"/>
      <c r="S315" s="467"/>
      <c r="T315" s="464">
        <f t="shared" si="31"/>
        <v>0</v>
      </c>
      <c r="U315" s="465">
        <f t="shared" si="32"/>
        <v>0</v>
      </c>
      <c r="V315" s="466"/>
      <c r="W315" s="467"/>
      <c r="X315" s="466"/>
      <c r="Y315" s="467"/>
      <c r="Z315" s="466"/>
      <c r="AA315" s="466"/>
      <c r="AB315" s="466"/>
      <c r="AC315" s="467"/>
      <c r="AD315" s="467"/>
      <c r="AE315" s="467"/>
      <c r="AF315" s="466"/>
      <c r="AG315" s="467"/>
    </row>
    <row r="316" spans="1:33" customFormat="1" ht="15" customHeight="1">
      <c r="A316" s="424" t="s">
        <v>280</v>
      </c>
      <c r="B316" s="355" t="s">
        <v>334</v>
      </c>
      <c r="C316" s="356"/>
      <c r="D316" s="358">
        <v>199467</v>
      </c>
      <c r="E316" s="358">
        <v>10</v>
      </c>
      <c r="F316" s="464">
        <f t="shared" si="29"/>
        <v>12583</v>
      </c>
      <c r="G316" s="465">
        <f t="shared" si="30"/>
        <v>10352</v>
      </c>
      <c r="H316" s="466">
        <v>4555</v>
      </c>
      <c r="I316" s="478">
        <v>3063</v>
      </c>
      <c r="J316" s="466">
        <v>358</v>
      </c>
      <c r="K316" s="481">
        <v>11</v>
      </c>
      <c r="L316" s="466">
        <v>7670</v>
      </c>
      <c r="M316" s="466">
        <v>0</v>
      </c>
      <c r="N316" s="466">
        <v>0</v>
      </c>
      <c r="O316" s="478">
        <v>7278</v>
      </c>
      <c r="P316" s="467">
        <v>0</v>
      </c>
      <c r="Q316" s="467">
        <v>0</v>
      </c>
      <c r="R316" s="466"/>
      <c r="S316" s="467"/>
      <c r="T316" s="464">
        <f t="shared" si="31"/>
        <v>0</v>
      </c>
      <c r="U316" s="465">
        <f t="shared" si="32"/>
        <v>0</v>
      </c>
      <c r="V316" s="466"/>
      <c r="W316" s="467"/>
      <c r="X316" s="466"/>
      <c r="Y316" s="467"/>
      <c r="Z316" s="466"/>
      <c r="AA316" s="466"/>
      <c r="AB316" s="466"/>
      <c r="AC316" s="467"/>
      <c r="AD316" s="467"/>
      <c r="AE316" s="467"/>
      <c r="AF316" s="466"/>
      <c r="AG316" s="467"/>
    </row>
    <row r="317" spans="1:33" customFormat="1" ht="15" customHeight="1">
      <c r="A317" s="424" t="s">
        <v>280</v>
      </c>
      <c r="B317" s="355" t="s">
        <v>335</v>
      </c>
      <c r="C317" s="457" t="s">
        <v>910</v>
      </c>
      <c r="D317" s="358">
        <v>199476</v>
      </c>
      <c r="E317" s="358">
        <v>10</v>
      </c>
      <c r="F317" s="464">
        <f t="shared" si="29"/>
        <v>37918</v>
      </c>
      <c r="G317" s="465">
        <f t="shared" si="30"/>
        <v>41285</v>
      </c>
      <c r="H317" s="466">
        <v>22357</v>
      </c>
      <c r="I317" s="478">
        <v>15757</v>
      </c>
      <c r="J317" s="466">
        <v>454</v>
      </c>
      <c r="K317" s="478">
        <v>541</v>
      </c>
      <c r="L317" s="466">
        <v>15107</v>
      </c>
      <c r="M317" s="466">
        <v>0</v>
      </c>
      <c r="N317" s="466">
        <v>0</v>
      </c>
      <c r="O317" s="481">
        <v>24987</v>
      </c>
      <c r="P317" s="467">
        <v>0</v>
      </c>
      <c r="Q317" s="467">
        <v>0</v>
      </c>
      <c r="R317" s="466"/>
      <c r="S317" s="467"/>
      <c r="T317" s="464">
        <f t="shared" si="31"/>
        <v>0</v>
      </c>
      <c r="U317" s="465">
        <f t="shared" si="32"/>
        <v>0</v>
      </c>
      <c r="V317" s="466"/>
      <c r="W317" s="467"/>
      <c r="X317" s="466"/>
      <c r="Y317" s="467"/>
      <c r="Z317" s="466"/>
      <c r="AA317" s="466"/>
      <c r="AB317" s="466"/>
      <c r="AC317" s="467"/>
      <c r="AD317" s="467"/>
      <c r="AE317" s="467"/>
      <c r="AF317" s="466"/>
      <c r="AG317" s="467"/>
    </row>
    <row r="318" spans="1:33" customFormat="1" ht="15" customHeight="1">
      <c r="A318" s="424" t="s">
        <v>280</v>
      </c>
      <c r="B318" s="355" t="s">
        <v>336</v>
      </c>
      <c r="C318" s="356"/>
      <c r="D318" s="358">
        <v>199485</v>
      </c>
      <c r="E318" s="358">
        <v>10</v>
      </c>
      <c r="F318" s="464">
        <f t="shared" si="29"/>
        <v>36130</v>
      </c>
      <c r="G318" s="465">
        <f t="shared" si="30"/>
        <v>36900</v>
      </c>
      <c r="H318" s="466">
        <v>22600</v>
      </c>
      <c r="I318" s="478">
        <v>15132</v>
      </c>
      <c r="J318" s="466">
        <v>993</v>
      </c>
      <c r="K318" s="478">
        <v>737</v>
      </c>
      <c r="L318" s="466">
        <v>12438</v>
      </c>
      <c r="M318" s="466">
        <v>99</v>
      </c>
      <c r="N318" s="466">
        <v>0</v>
      </c>
      <c r="O318" s="481">
        <v>21031</v>
      </c>
      <c r="P318" s="479">
        <v>0</v>
      </c>
      <c r="Q318" s="467">
        <v>0</v>
      </c>
      <c r="R318" s="466"/>
      <c r="S318" s="467"/>
      <c r="T318" s="464">
        <f t="shared" si="31"/>
        <v>0</v>
      </c>
      <c r="U318" s="465">
        <f t="shared" si="32"/>
        <v>0</v>
      </c>
      <c r="V318" s="466"/>
      <c r="W318" s="467"/>
      <c r="X318" s="466"/>
      <c r="Y318" s="467"/>
      <c r="Z318" s="466"/>
      <c r="AA318" s="466"/>
      <c r="AB318" s="466"/>
      <c r="AC318" s="467"/>
      <c r="AD318" s="467"/>
      <c r="AE318" s="467"/>
      <c r="AF318" s="466"/>
      <c r="AG318" s="467"/>
    </row>
    <row r="319" spans="1:33" customFormat="1" ht="15" customHeight="1">
      <c r="A319" s="424" t="s">
        <v>280</v>
      </c>
      <c r="B319" s="355" t="s">
        <v>338</v>
      </c>
      <c r="C319" s="356"/>
      <c r="D319" s="358">
        <v>199625</v>
      </c>
      <c r="E319" s="358">
        <v>10</v>
      </c>
      <c r="F319" s="464">
        <f t="shared" si="29"/>
        <v>36369</v>
      </c>
      <c r="G319" s="465">
        <f t="shared" si="30"/>
        <v>37544</v>
      </c>
      <c r="H319" s="466">
        <v>13168</v>
      </c>
      <c r="I319" s="478">
        <v>8295</v>
      </c>
      <c r="J319" s="466">
        <v>52</v>
      </c>
      <c r="K319" s="478">
        <v>43</v>
      </c>
      <c r="L319" s="466">
        <v>23149</v>
      </c>
      <c r="M319" s="466">
        <v>0</v>
      </c>
      <c r="N319" s="466">
        <v>0</v>
      </c>
      <c r="O319" s="478">
        <v>29206</v>
      </c>
      <c r="P319" s="467">
        <v>0</v>
      </c>
      <c r="Q319" s="467">
        <v>0</v>
      </c>
      <c r="R319" s="466"/>
      <c r="S319" s="467"/>
      <c r="T319" s="464">
        <f t="shared" si="31"/>
        <v>0</v>
      </c>
      <c r="U319" s="465">
        <f t="shared" si="32"/>
        <v>0</v>
      </c>
      <c r="V319" s="466"/>
      <c r="W319" s="467"/>
      <c r="X319" s="466"/>
      <c r="Y319" s="467"/>
      <c r="Z319" s="466"/>
      <c r="AA319" s="466"/>
      <c r="AB319" s="466"/>
      <c r="AC319" s="467"/>
      <c r="AD319" s="467"/>
      <c r="AE319" s="467"/>
      <c r="AF319" s="466"/>
      <c r="AG319" s="467"/>
    </row>
    <row r="320" spans="1:33" customFormat="1" ht="15" customHeight="1">
      <c r="A320" s="424" t="s">
        <v>280</v>
      </c>
      <c r="B320" s="355" t="s">
        <v>341</v>
      </c>
      <c r="C320" s="356"/>
      <c r="D320" s="358">
        <v>199722</v>
      </c>
      <c r="E320" s="358">
        <v>10</v>
      </c>
      <c r="F320" s="464">
        <f t="shared" si="29"/>
        <v>31548</v>
      </c>
      <c r="G320" s="465">
        <f t="shared" si="30"/>
        <v>29888</v>
      </c>
      <c r="H320" s="466">
        <v>14091</v>
      </c>
      <c r="I320" s="478">
        <v>9777</v>
      </c>
      <c r="J320" s="466">
        <v>945</v>
      </c>
      <c r="K320" s="478">
        <v>712</v>
      </c>
      <c r="L320" s="466">
        <v>16512</v>
      </c>
      <c r="M320" s="466">
        <v>0</v>
      </c>
      <c r="N320" s="466">
        <v>0</v>
      </c>
      <c r="O320" s="478">
        <v>19399</v>
      </c>
      <c r="P320" s="467">
        <v>0</v>
      </c>
      <c r="Q320" s="467">
        <v>0</v>
      </c>
      <c r="R320" s="466"/>
      <c r="S320" s="467"/>
      <c r="T320" s="464">
        <f t="shared" si="31"/>
        <v>0</v>
      </c>
      <c r="U320" s="465">
        <f t="shared" si="32"/>
        <v>0</v>
      </c>
      <c r="V320" s="466"/>
      <c r="W320" s="467"/>
      <c r="X320" s="466"/>
      <c r="Y320" s="467"/>
      <c r="Z320" s="466"/>
      <c r="AA320" s="466"/>
      <c r="AB320" s="466"/>
      <c r="AC320" s="467"/>
      <c r="AD320" s="467"/>
      <c r="AE320" s="467"/>
      <c r="AF320" s="466"/>
      <c r="AG320" s="467"/>
    </row>
    <row r="321" spans="1:33" customFormat="1" ht="15" customHeight="1">
      <c r="A321" s="424" t="s">
        <v>280</v>
      </c>
      <c r="B321" s="355" t="s">
        <v>342</v>
      </c>
      <c r="C321" s="356"/>
      <c r="D321" s="358">
        <v>199731</v>
      </c>
      <c r="E321" s="358">
        <v>10</v>
      </c>
      <c r="F321" s="464">
        <f t="shared" si="29"/>
        <v>46377</v>
      </c>
      <c r="G321" s="465">
        <f t="shared" si="30"/>
        <v>44668</v>
      </c>
      <c r="H321" s="466">
        <v>26769</v>
      </c>
      <c r="I321" s="478">
        <v>17649</v>
      </c>
      <c r="J321" s="466">
        <v>1461</v>
      </c>
      <c r="K321" s="478">
        <v>1451</v>
      </c>
      <c r="L321" s="466">
        <v>18147</v>
      </c>
      <c r="M321" s="466">
        <v>0</v>
      </c>
      <c r="N321" s="466">
        <v>0</v>
      </c>
      <c r="O321" s="478">
        <v>25568</v>
      </c>
      <c r="P321" s="467">
        <v>0</v>
      </c>
      <c r="Q321" s="467">
        <v>0</v>
      </c>
      <c r="R321" s="466"/>
      <c r="S321" s="467"/>
      <c r="T321" s="464">
        <f t="shared" si="31"/>
        <v>0</v>
      </c>
      <c r="U321" s="465">
        <f t="shared" si="32"/>
        <v>0</v>
      </c>
      <c r="V321" s="466"/>
      <c r="W321" s="467"/>
      <c r="X321" s="466"/>
      <c r="Y321" s="467"/>
      <c r="Z321" s="466"/>
      <c r="AA321" s="466"/>
      <c r="AB321" s="466"/>
      <c r="AC321" s="467"/>
      <c r="AD321" s="467"/>
      <c r="AE321" s="467"/>
      <c r="AF321" s="466"/>
      <c r="AG321" s="467"/>
    </row>
    <row r="322" spans="1:33" customFormat="1" ht="15" customHeight="1">
      <c r="A322" s="424" t="s">
        <v>280</v>
      </c>
      <c r="B322" s="355" t="s">
        <v>345</v>
      </c>
      <c r="C322" s="356"/>
      <c r="D322" s="358">
        <v>199795</v>
      </c>
      <c r="E322" s="358">
        <v>10</v>
      </c>
      <c r="F322" s="464">
        <f t="shared" si="29"/>
        <v>23090</v>
      </c>
      <c r="G322" s="465">
        <f t="shared" si="30"/>
        <v>23541</v>
      </c>
      <c r="H322" s="466">
        <v>5879</v>
      </c>
      <c r="I322" s="478">
        <v>5733</v>
      </c>
      <c r="J322" s="466">
        <v>1875</v>
      </c>
      <c r="K322" s="478">
        <v>1541</v>
      </c>
      <c r="L322" s="466">
        <v>15336</v>
      </c>
      <c r="M322" s="466">
        <v>0</v>
      </c>
      <c r="N322" s="466">
        <v>0</v>
      </c>
      <c r="O322" s="478">
        <v>16267</v>
      </c>
      <c r="P322" s="467">
        <v>0</v>
      </c>
      <c r="Q322" s="467">
        <v>0</v>
      </c>
      <c r="R322" s="466"/>
      <c r="S322" s="467"/>
      <c r="T322" s="464">
        <f t="shared" si="31"/>
        <v>0</v>
      </c>
      <c r="U322" s="465">
        <f t="shared" si="32"/>
        <v>0</v>
      </c>
      <c r="V322" s="466"/>
      <c r="W322" s="467"/>
      <c r="X322" s="466"/>
      <c r="Y322" s="467"/>
      <c r="Z322" s="466"/>
      <c r="AA322" s="466"/>
      <c r="AB322" s="466"/>
      <c r="AC322" s="467"/>
      <c r="AD322" s="467"/>
      <c r="AE322" s="467"/>
      <c r="AF322" s="466"/>
      <c r="AG322" s="467"/>
    </row>
    <row r="323" spans="1:33" customFormat="1" ht="15" customHeight="1">
      <c r="A323" s="424" t="s">
        <v>280</v>
      </c>
      <c r="B323" s="355" t="s">
        <v>349</v>
      </c>
      <c r="C323" s="360"/>
      <c r="D323" s="358">
        <v>199908</v>
      </c>
      <c r="E323" s="358">
        <v>10</v>
      </c>
      <c r="F323" s="464">
        <f t="shared" si="29"/>
        <v>40720</v>
      </c>
      <c r="G323" s="465">
        <f t="shared" si="30"/>
        <v>40876</v>
      </c>
      <c r="H323" s="466">
        <v>22494</v>
      </c>
      <c r="I323" s="481">
        <v>7514</v>
      </c>
      <c r="J323" s="466">
        <v>2735</v>
      </c>
      <c r="K323" s="480">
        <v>7486</v>
      </c>
      <c r="L323" s="466">
        <v>15491</v>
      </c>
      <c r="M323" s="466">
        <v>0</v>
      </c>
      <c r="N323" s="466">
        <v>0</v>
      </c>
      <c r="O323" s="481">
        <v>25876</v>
      </c>
      <c r="P323" s="467">
        <v>0</v>
      </c>
      <c r="Q323" s="467">
        <v>0</v>
      </c>
      <c r="R323" s="466"/>
      <c r="S323" s="467"/>
      <c r="T323" s="464">
        <f t="shared" si="31"/>
        <v>0</v>
      </c>
      <c r="U323" s="465">
        <f t="shared" si="32"/>
        <v>0</v>
      </c>
      <c r="V323" s="466"/>
      <c r="W323" s="467"/>
      <c r="X323" s="466"/>
      <c r="Y323" s="467"/>
      <c r="Z323" s="466"/>
      <c r="AA323" s="466"/>
      <c r="AB323" s="466"/>
      <c r="AC323" s="467"/>
      <c r="AD323" s="467"/>
      <c r="AE323" s="467"/>
      <c r="AF323" s="466"/>
      <c r="AG323" s="467"/>
    </row>
    <row r="324" spans="1:33" customFormat="1" ht="15" customHeight="1">
      <c r="A324" s="424" t="s">
        <v>280</v>
      </c>
      <c r="B324" s="355" t="s">
        <v>351</v>
      </c>
      <c r="C324" s="356"/>
      <c r="D324" s="358">
        <v>199953</v>
      </c>
      <c r="E324" s="358">
        <v>10</v>
      </c>
      <c r="F324" s="464">
        <f t="shared" si="29"/>
        <v>35058.5</v>
      </c>
      <c r="G324" s="465">
        <f t="shared" si="30"/>
        <v>35979.5</v>
      </c>
      <c r="H324" s="466">
        <v>12226.5</v>
      </c>
      <c r="I324" s="478">
        <v>7898.5</v>
      </c>
      <c r="J324" s="466">
        <v>1270</v>
      </c>
      <c r="K324" s="478">
        <v>1412</v>
      </c>
      <c r="L324" s="466">
        <v>21562</v>
      </c>
      <c r="M324" s="466">
        <v>0</v>
      </c>
      <c r="N324" s="466">
        <v>0</v>
      </c>
      <c r="O324" s="478">
        <v>26669</v>
      </c>
      <c r="P324" s="467">
        <v>0</v>
      </c>
      <c r="Q324" s="467">
        <v>0</v>
      </c>
      <c r="R324" s="466"/>
      <c r="S324" s="467"/>
      <c r="T324" s="464">
        <f t="shared" si="31"/>
        <v>0</v>
      </c>
      <c r="U324" s="465">
        <f t="shared" si="32"/>
        <v>0</v>
      </c>
      <c r="V324" s="466"/>
      <c r="W324" s="467"/>
      <c r="X324" s="466"/>
      <c r="Y324" s="467"/>
      <c r="Z324" s="466"/>
      <c r="AA324" s="466"/>
      <c r="AB324" s="466"/>
      <c r="AC324" s="467"/>
      <c r="AD324" s="467"/>
      <c r="AE324" s="467"/>
      <c r="AF324" s="466"/>
      <c r="AG324" s="467"/>
    </row>
    <row r="325" spans="1:33">
      <c r="A325" s="50" t="s">
        <v>352</v>
      </c>
      <c r="B325" s="49"/>
      <c r="C325" s="1"/>
      <c r="D325" s="37"/>
      <c r="E325" s="37"/>
      <c r="F325" s="464">
        <f t="shared" ref="F325:F336" si="33">SUM(H325,J325,L325,M325,N325,R325)</f>
        <v>0</v>
      </c>
      <c r="G325" s="465">
        <f t="shared" ref="G325:G336" si="34">SUM(I325,K325,O325,P325,Q325,S325)</f>
        <v>0</v>
      </c>
      <c r="H325" s="466"/>
      <c r="I325" s="467"/>
      <c r="J325" s="466"/>
      <c r="K325" s="467"/>
      <c r="L325" s="466"/>
      <c r="M325" s="466"/>
      <c r="N325" s="466"/>
      <c r="O325" s="467"/>
      <c r="P325" s="467"/>
      <c r="Q325" s="467"/>
      <c r="R325" s="466"/>
      <c r="S325" s="467"/>
      <c r="T325" s="464">
        <f t="shared" ref="T325:T336" si="35">SUM(V325,X325,Z325,AA325,AB325,AF325)</f>
        <v>0</v>
      </c>
      <c r="U325" s="465">
        <f t="shared" ref="U325:U336" si="36">SUM(W325,Y325,AC325,AD325,AE325,AG325)</f>
        <v>0</v>
      </c>
      <c r="V325" s="466"/>
      <c r="W325" s="467"/>
      <c r="X325" s="466"/>
      <c r="Y325" s="467"/>
      <c r="Z325" s="466"/>
      <c r="AA325" s="466"/>
      <c r="AB325" s="466"/>
      <c r="AC325" s="467"/>
      <c r="AD325" s="467"/>
      <c r="AE325" s="467"/>
      <c r="AF325" s="466"/>
      <c r="AG325" s="467"/>
    </row>
    <row r="326" spans="1:33" s="472" customFormat="1">
      <c r="A326" s="468" t="s">
        <v>352</v>
      </c>
      <c r="B326" s="469"/>
      <c r="C326" s="470"/>
      <c r="D326" s="471"/>
      <c r="E326" s="471"/>
      <c r="F326" s="464">
        <f t="shared" si="33"/>
        <v>0</v>
      </c>
      <c r="G326" s="465">
        <f t="shared" si="34"/>
        <v>0</v>
      </c>
      <c r="H326" s="466"/>
      <c r="I326" s="467"/>
      <c r="J326" s="466"/>
      <c r="K326" s="467"/>
      <c r="L326" s="466"/>
      <c r="M326" s="466"/>
      <c r="N326" s="466"/>
      <c r="O326" s="467"/>
      <c r="P326" s="467"/>
      <c r="Q326" s="467"/>
      <c r="R326" s="466"/>
      <c r="S326" s="467"/>
      <c r="T326" s="464">
        <f t="shared" si="35"/>
        <v>0</v>
      </c>
      <c r="U326" s="465">
        <f t="shared" si="36"/>
        <v>0</v>
      </c>
      <c r="V326" s="466"/>
      <c r="W326" s="467"/>
      <c r="X326" s="466"/>
      <c r="Y326" s="467"/>
      <c r="Z326" s="466"/>
      <c r="AA326" s="466"/>
      <c r="AB326" s="466"/>
      <c r="AC326" s="467"/>
      <c r="AD326" s="467"/>
      <c r="AE326" s="467"/>
      <c r="AF326" s="466"/>
      <c r="AG326" s="467"/>
    </row>
    <row r="327" spans="1:33" s="14" customFormat="1" ht="13.5" customHeight="1">
      <c r="A327" s="383" t="s">
        <v>353</v>
      </c>
      <c r="B327" s="366" t="s">
        <v>354</v>
      </c>
      <c r="C327" s="367"/>
      <c r="D327" s="368">
        <v>217882</v>
      </c>
      <c r="E327" s="368">
        <v>1</v>
      </c>
      <c r="F327" s="464">
        <f t="shared" si="33"/>
        <v>618261</v>
      </c>
      <c r="G327" s="465">
        <f t="shared" si="34"/>
        <v>635293</v>
      </c>
      <c r="H327" s="466">
        <v>540556</v>
      </c>
      <c r="I327" s="467">
        <v>442126</v>
      </c>
      <c r="J327" s="466">
        <v>16387</v>
      </c>
      <c r="K327" s="467">
        <v>8621</v>
      </c>
      <c r="L327" s="466">
        <v>61318</v>
      </c>
      <c r="M327" s="466"/>
      <c r="N327" s="466"/>
      <c r="O327" s="467">
        <v>184546</v>
      </c>
      <c r="P327" s="467"/>
      <c r="Q327" s="467"/>
      <c r="R327" s="466"/>
      <c r="S327" s="467"/>
      <c r="T327" s="464">
        <f t="shared" si="35"/>
        <v>96016</v>
      </c>
      <c r="U327" s="465">
        <f t="shared" si="36"/>
        <v>96995</v>
      </c>
      <c r="V327" s="466">
        <v>46748</v>
      </c>
      <c r="W327" s="467">
        <v>36682</v>
      </c>
      <c r="X327" s="466">
        <v>26230</v>
      </c>
      <c r="Y327" s="467">
        <v>16683</v>
      </c>
      <c r="Z327" s="466">
        <v>23038</v>
      </c>
      <c r="AA327" s="466"/>
      <c r="AB327" s="466"/>
      <c r="AC327" s="467">
        <v>43630</v>
      </c>
      <c r="AD327" s="467"/>
      <c r="AE327" s="467"/>
      <c r="AF327" s="466"/>
      <c r="AG327" s="467"/>
    </row>
    <row r="328" spans="1:33" s="14" customFormat="1" ht="12.75" customHeight="1">
      <c r="A328" s="383" t="s">
        <v>353</v>
      </c>
      <c r="B328" s="366" t="s">
        <v>355</v>
      </c>
      <c r="C328" s="367"/>
      <c r="D328" s="368">
        <v>218663</v>
      </c>
      <c r="E328" s="368">
        <v>1</v>
      </c>
      <c r="F328" s="464">
        <f t="shared" si="33"/>
        <v>818438</v>
      </c>
      <c r="G328" s="465">
        <f t="shared" si="34"/>
        <v>846368</v>
      </c>
      <c r="H328" s="466">
        <v>702948</v>
      </c>
      <c r="I328" s="467">
        <v>387849</v>
      </c>
      <c r="J328" s="466">
        <v>12733</v>
      </c>
      <c r="K328" s="467">
        <v>10170</v>
      </c>
      <c r="L328" s="466">
        <v>102751</v>
      </c>
      <c r="M328" s="466">
        <v>6</v>
      </c>
      <c r="N328" s="466"/>
      <c r="O328" s="467">
        <v>448323</v>
      </c>
      <c r="P328" s="467">
        <v>26</v>
      </c>
      <c r="Q328" s="467"/>
      <c r="R328" s="466"/>
      <c r="S328" s="467"/>
      <c r="T328" s="464">
        <f t="shared" si="35"/>
        <v>176268</v>
      </c>
      <c r="U328" s="465">
        <f t="shared" si="36"/>
        <v>170036</v>
      </c>
      <c r="V328" s="466">
        <v>130112</v>
      </c>
      <c r="W328" s="467">
        <v>91422</v>
      </c>
      <c r="X328" s="466">
        <v>3522</v>
      </c>
      <c r="Y328" s="467">
        <v>3282</v>
      </c>
      <c r="Z328" s="466">
        <v>32381</v>
      </c>
      <c r="AA328" s="466">
        <v>10253</v>
      </c>
      <c r="AB328" s="466"/>
      <c r="AC328" s="467">
        <v>68757</v>
      </c>
      <c r="AD328" s="467">
        <v>6575</v>
      </c>
      <c r="AE328" s="467"/>
      <c r="AF328" s="466"/>
      <c r="AG328" s="467"/>
    </row>
    <row r="329" spans="1:33">
      <c r="A329" s="383" t="s">
        <v>353</v>
      </c>
      <c r="B329" s="366" t="s">
        <v>356</v>
      </c>
      <c r="C329" s="367"/>
      <c r="D329" s="368">
        <v>217819</v>
      </c>
      <c r="E329" s="368">
        <v>3</v>
      </c>
      <c r="F329" s="464">
        <f t="shared" si="33"/>
        <v>286655</v>
      </c>
      <c r="G329" s="465">
        <f t="shared" si="34"/>
        <v>280124</v>
      </c>
      <c r="H329" s="466">
        <v>251059</v>
      </c>
      <c r="I329" s="467">
        <v>186173</v>
      </c>
      <c r="J329" s="466">
        <v>7221</v>
      </c>
      <c r="K329" s="467">
        <v>4389</v>
      </c>
      <c r="L329" s="466">
        <v>28375</v>
      </c>
      <c r="M329" s="466"/>
      <c r="N329" s="466"/>
      <c r="O329" s="467">
        <v>89562</v>
      </c>
      <c r="P329" s="467"/>
      <c r="Q329" s="467"/>
      <c r="R329" s="466"/>
      <c r="S329" s="467"/>
      <c r="T329" s="464">
        <f t="shared" si="35"/>
        <v>13742</v>
      </c>
      <c r="U329" s="465">
        <f t="shared" si="36"/>
        <v>16449</v>
      </c>
      <c r="V329" s="466">
        <v>6966</v>
      </c>
      <c r="W329" s="467">
        <v>4889</v>
      </c>
      <c r="X329" s="466">
        <v>1348</v>
      </c>
      <c r="Y329" s="467">
        <v>843</v>
      </c>
      <c r="Z329" s="466">
        <v>5428</v>
      </c>
      <c r="AA329" s="466"/>
      <c r="AB329" s="466"/>
      <c r="AC329" s="467">
        <v>10717</v>
      </c>
      <c r="AD329" s="467"/>
      <c r="AE329" s="467"/>
      <c r="AF329" s="466"/>
      <c r="AG329" s="467"/>
    </row>
    <row r="330" spans="1:33" s="14" customFormat="1" ht="12.75" customHeight="1">
      <c r="A330" s="383" t="s">
        <v>353</v>
      </c>
      <c r="B330" s="366" t="s">
        <v>357</v>
      </c>
      <c r="C330" s="369"/>
      <c r="D330" s="368">
        <v>217864</v>
      </c>
      <c r="E330" s="368">
        <v>3</v>
      </c>
      <c r="F330" s="464">
        <f t="shared" si="33"/>
        <v>100806</v>
      </c>
      <c r="G330" s="465">
        <f t="shared" si="34"/>
        <v>98265</v>
      </c>
      <c r="H330" s="466">
        <v>94645</v>
      </c>
      <c r="I330" s="467">
        <v>90532</v>
      </c>
      <c r="J330" s="466">
        <v>129</v>
      </c>
      <c r="K330" s="467">
        <v>158</v>
      </c>
      <c r="L330" s="466">
        <v>6032</v>
      </c>
      <c r="M330" s="466"/>
      <c r="N330" s="466"/>
      <c r="O330" s="467">
        <v>7575</v>
      </c>
      <c r="P330" s="467"/>
      <c r="Q330" s="467"/>
      <c r="R330" s="466"/>
      <c r="S330" s="467"/>
      <c r="T330" s="464">
        <f t="shared" si="35"/>
        <v>15052</v>
      </c>
      <c r="U330" s="465">
        <f t="shared" si="36"/>
        <v>14825</v>
      </c>
      <c r="V330" s="466">
        <v>6557</v>
      </c>
      <c r="W330" s="467">
        <v>5755</v>
      </c>
      <c r="X330" s="466">
        <v>1296</v>
      </c>
      <c r="Y330" s="467">
        <v>381</v>
      </c>
      <c r="Z330" s="466">
        <v>7199</v>
      </c>
      <c r="AA330" s="466"/>
      <c r="AB330" s="466"/>
      <c r="AC330" s="467">
        <v>8689</v>
      </c>
      <c r="AD330" s="467"/>
      <c r="AE330" s="467"/>
      <c r="AF330" s="466"/>
      <c r="AG330" s="467"/>
    </row>
    <row r="331" spans="1:33">
      <c r="A331" s="383" t="s">
        <v>353</v>
      </c>
      <c r="B331" s="366" t="s">
        <v>358</v>
      </c>
      <c r="C331" s="367"/>
      <c r="D331" s="368">
        <v>218964</v>
      </c>
      <c r="E331" s="368">
        <v>3</v>
      </c>
      <c r="F331" s="464">
        <f t="shared" si="33"/>
        <v>138374</v>
      </c>
      <c r="G331" s="465">
        <f t="shared" si="34"/>
        <v>134935</v>
      </c>
      <c r="H331" s="466">
        <v>118718.5</v>
      </c>
      <c r="I331" s="467">
        <v>78192</v>
      </c>
      <c r="J331" s="466">
        <v>2315</v>
      </c>
      <c r="K331" s="467">
        <v>1379</v>
      </c>
      <c r="L331" s="466">
        <v>17340.5</v>
      </c>
      <c r="M331" s="466"/>
      <c r="N331" s="466"/>
      <c r="O331" s="467">
        <v>55364</v>
      </c>
      <c r="P331" s="467"/>
      <c r="Q331" s="467"/>
      <c r="R331" s="466"/>
      <c r="S331" s="467"/>
      <c r="T331" s="464">
        <f t="shared" si="35"/>
        <v>13673</v>
      </c>
      <c r="U331" s="465">
        <f t="shared" si="36"/>
        <v>16735</v>
      </c>
      <c r="V331" s="466">
        <v>8138</v>
      </c>
      <c r="W331" s="467">
        <v>4440</v>
      </c>
      <c r="X331" s="466">
        <v>764</v>
      </c>
      <c r="Y331" s="467">
        <v>440</v>
      </c>
      <c r="Z331" s="466">
        <v>4771</v>
      </c>
      <c r="AA331" s="466"/>
      <c r="AB331" s="466"/>
      <c r="AC331" s="467">
        <v>11855</v>
      </c>
      <c r="AD331" s="467"/>
      <c r="AE331" s="467"/>
      <c r="AF331" s="466"/>
      <c r="AG331" s="467"/>
    </row>
    <row r="332" spans="1:33" s="14" customFormat="1" ht="15" customHeight="1">
      <c r="A332" s="383" t="s">
        <v>353</v>
      </c>
      <c r="B332" s="366" t="s">
        <v>359</v>
      </c>
      <c r="C332" s="384"/>
      <c r="D332" s="368">
        <v>218724</v>
      </c>
      <c r="E332" s="368">
        <v>4</v>
      </c>
      <c r="F332" s="464">
        <f t="shared" si="33"/>
        <v>290884</v>
      </c>
      <c r="G332" s="465">
        <f t="shared" si="34"/>
        <v>283480</v>
      </c>
      <c r="H332" s="466">
        <v>234234</v>
      </c>
      <c r="I332" s="467">
        <v>214772</v>
      </c>
      <c r="J332" s="466">
        <v>2566</v>
      </c>
      <c r="K332" s="467">
        <v>1373</v>
      </c>
      <c r="L332" s="466">
        <v>54084</v>
      </c>
      <c r="M332" s="466"/>
      <c r="N332" s="466"/>
      <c r="O332" s="467">
        <v>67335</v>
      </c>
      <c r="P332" s="467"/>
      <c r="Q332" s="467"/>
      <c r="R332" s="466"/>
      <c r="S332" s="467"/>
      <c r="T332" s="464">
        <f t="shared" si="35"/>
        <v>12890</v>
      </c>
      <c r="U332" s="465">
        <f t="shared" si="36"/>
        <v>12670</v>
      </c>
      <c r="V332" s="466">
        <v>5438</v>
      </c>
      <c r="W332" s="467">
        <v>4267</v>
      </c>
      <c r="X332" s="466">
        <v>1408</v>
      </c>
      <c r="Y332" s="467">
        <v>510</v>
      </c>
      <c r="Z332" s="466">
        <v>6044</v>
      </c>
      <c r="AA332" s="466"/>
      <c r="AB332" s="466"/>
      <c r="AC332" s="467">
        <v>7893</v>
      </c>
      <c r="AD332" s="467"/>
      <c r="AE332" s="467"/>
      <c r="AF332" s="466"/>
      <c r="AG332" s="467"/>
    </row>
    <row r="333" spans="1:33" s="14" customFormat="1" ht="15" customHeight="1">
      <c r="A333" s="383" t="s">
        <v>353</v>
      </c>
      <c r="B333" s="366" t="s">
        <v>360</v>
      </c>
      <c r="C333" s="385"/>
      <c r="D333" s="368">
        <v>218061</v>
      </c>
      <c r="E333" s="368">
        <v>5</v>
      </c>
      <c r="F333" s="464">
        <f t="shared" si="33"/>
        <v>88066</v>
      </c>
      <c r="G333" s="465">
        <f t="shared" si="34"/>
        <v>90676</v>
      </c>
      <c r="H333" s="466">
        <v>76530</v>
      </c>
      <c r="I333" s="467">
        <v>66493</v>
      </c>
      <c r="J333" s="466">
        <v>1323</v>
      </c>
      <c r="K333" s="467">
        <v>4721</v>
      </c>
      <c r="L333" s="466">
        <v>10213</v>
      </c>
      <c r="M333" s="466"/>
      <c r="N333" s="466"/>
      <c r="O333" s="467">
        <v>19462</v>
      </c>
      <c r="P333" s="467"/>
      <c r="Q333" s="467"/>
      <c r="R333" s="466"/>
      <c r="S333" s="467"/>
      <c r="T333" s="464">
        <f t="shared" si="35"/>
        <v>9496</v>
      </c>
      <c r="U333" s="465">
        <f t="shared" si="36"/>
        <v>11755</v>
      </c>
      <c r="V333" s="466">
        <v>4828</v>
      </c>
      <c r="W333" s="467">
        <v>4391</v>
      </c>
      <c r="X333" s="466">
        <v>4</v>
      </c>
      <c r="Y333" s="467">
        <v>822</v>
      </c>
      <c r="Z333" s="466">
        <v>4664</v>
      </c>
      <c r="AA333" s="466"/>
      <c r="AB333" s="466"/>
      <c r="AC333" s="467">
        <v>6542</v>
      </c>
      <c r="AD333" s="467"/>
      <c r="AE333" s="467"/>
      <c r="AF333" s="466"/>
      <c r="AG333" s="467"/>
    </row>
    <row r="334" spans="1:33" s="14" customFormat="1" ht="15" customHeight="1">
      <c r="A334" s="383" t="s">
        <v>353</v>
      </c>
      <c r="B334" s="366" t="s">
        <v>361</v>
      </c>
      <c r="C334" s="385"/>
      <c r="D334" s="368">
        <v>218733</v>
      </c>
      <c r="E334" s="368">
        <v>5</v>
      </c>
      <c r="F334" s="464">
        <f t="shared" si="33"/>
        <v>63835</v>
      </c>
      <c r="G334" s="465">
        <f t="shared" si="34"/>
        <v>58908</v>
      </c>
      <c r="H334" s="466">
        <v>56176</v>
      </c>
      <c r="I334" s="467">
        <v>48890</v>
      </c>
      <c r="J334" s="466"/>
      <c r="K334" s="467"/>
      <c r="L334" s="466">
        <v>7659</v>
      </c>
      <c r="M334" s="466"/>
      <c r="N334" s="466"/>
      <c r="O334" s="467">
        <v>10018</v>
      </c>
      <c r="P334" s="467"/>
      <c r="Q334" s="467"/>
      <c r="R334" s="466"/>
      <c r="S334" s="467"/>
      <c r="T334" s="464">
        <f t="shared" si="35"/>
        <v>6113</v>
      </c>
      <c r="U334" s="465">
        <f t="shared" si="36"/>
        <v>5561</v>
      </c>
      <c r="V334" s="466">
        <v>5264</v>
      </c>
      <c r="W334" s="467">
        <v>3313</v>
      </c>
      <c r="X334" s="466"/>
      <c r="Y334" s="467"/>
      <c r="Z334" s="466">
        <v>825</v>
      </c>
      <c r="AA334" s="466">
        <v>24</v>
      </c>
      <c r="AB334" s="466"/>
      <c r="AC334" s="467">
        <v>2248</v>
      </c>
      <c r="AD334" s="467"/>
      <c r="AE334" s="467"/>
      <c r="AF334" s="466"/>
      <c r="AG334" s="467"/>
    </row>
    <row r="335" spans="1:33" s="14" customFormat="1" ht="15" customHeight="1">
      <c r="A335" s="383" t="s">
        <v>353</v>
      </c>
      <c r="B335" s="366" t="s">
        <v>362</v>
      </c>
      <c r="C335" s="385" t="s">
        <v>716</v>
      </c>
      <c r="D335" s="368">
        <v>218229</v>
      </c>
      <c r="E335" s="368">
        <v>6</v>
      </c>
      <c r="F335" s="464">
        <f t="shared" si="33"/>
        <v>87864.5</v>
      </c>
      <c r="G335" s="465">
        <f t="shared" si="34"/>
        <v>94947</v>
      </c>
      <c r="H335" s="466">
        <v>75733.5</v>
      </c>
      <c r="I335" s="467">
        <v>68525</v>
      </c>
      <c r="J335" s="466">
        <v>36</v>
      </c>
      <c r="K335" s="467">
        <v>231</v>
      </c>
      <c r="L335" s="466">
        <v>12095</v>
      </c>
      <c r="M335" s="466"/>
      <c r="N335" s="466"/>
      <c r="O335" s="467">
        <v>26191</v>
      </c>
      <c r="P335" s="467"/>
      <c r="Q335" s="467"/>
      <c r="R335" s="466"/>
      <c r="S335" s="467"/>
      <c r="T335" s="464">
        <f t="shared" si="35"/>
        <v>1553</v>
      </c>
      <c r="U335" s="465">
        <f t="shared" si="36"/>
        <v>2168</v>
      </c>
      <c r="V335" s="466">
        <v>462</v>
      </c>
      <c r="W335" s="467">
        <v>105</v>
      </c>
      <c r="X335" s="466"/>
      <c r="Y335" s="467">
        <v>66</v>
      </c>
      <c r="Z335" s="466">
        <v>1091</v>
      </c>
      <c r="AA335" s="466"/>
      <c r="AB335" s="466"/>
      <c r="AC335" s="467">
        <v>1997</v>
      </c>
      <c r="AD335" s="467"/>
      <c r="AE335" s="467"/>
      <c r="AF335" s="466"/>
      <c r="AG335" s="467"/>
    </row>
    <row r="336" spans="1:33" s="14" customFormat="1" ht="15" customHeight="1">
      <c r="A336" s="383" t="s">
        <v>353</v>
      </c>
      <c r="B336" s="366" t="s">
        <v>363</v>
      </c>
      <c r="C336" s="460" t="s">
        <v>908</v>
      </c>
      <c r="D336" s="368">
        <v>218645</v>
      </c>
      <c r="E336" s="368">
        <v>6</v>
      </c>
      <c r="F336" s="464">
        <f t="shared" si="33"/>
        <v>86188</v>
      </c>
      <c r="G336" s="465">
        <f t="shared" si="34"/>
        <v>88250</v>
      </c>
      <c r="H336" s="466">
        <v>65050</v>
      </c>
      <c r="I336" s="467">
        <v>38770</v>
      </c>
      <c r="J336" s="466">
        <v>3554</v>
      </c>
      <c r="K336" s="467">
        <v>2938</v>
      </c>
      <c r="L336" s="466">
        <v>17584</v>
      </c>
      <c r="M336" s="466"/>
      <c r="N336" s="466"/>
      <c r="O336" s="467">
        <v>46542</v>
      </c>
      <c r="P336" s="467"/>
      <c r="Q336" s="467"/>
      <c r="R336" s="466"/>
      <c r="S336" s="467"/>
      <c r="T336" s="464">
        <f t="shared" si="35"/>
        <v>6315</v>
      </c>
      <c r="U336" s="465">
        <f t="shared" si="36"/>
        <v>5233</v>
      </c>
      <c r="V336" s="466">
        <v>566</v>
      </c>
      <c r="W336" s="467">
        <v>210</v>
      </c>
      <c r="X336" s="466"/>
      <c r="Y336" s="467"/>
      <c r="Z336" s="466">
        <v>5749</v>
      </c>
      <c r="AA336" s="466"/>
      <c r="AB336" s="466"/>
      <c r="AC336" s="467">
        <v>5023</v>
      </c>
      <c r="AD336" s="467"/>
      <c r="AE336" s="467"/>
      <c r="AF336" s="466"/>
      <c r="AG336" s="467"/>
    </row>
    <row r="337" spans="1:33" s="14" customFormat="1" ht="15" customHeight="1">
      <c r="A337" s="383" t="s">
        <v>353</v>
      </c>
      <c r="B337" s="366" t="s">
        <v>364</v>
      </c>
      <c r="C337" s="385"/>
      <c r="D337" s="368">
        <v>218654</v>
      </c>
      <c r="E337" s="368">
        <v>6</v>
      </c>
      <c r="F337" s="464">
        <f t="shared" ref="F337:F400" si="37">SUM(H337,J337,L337,M337,N337,R337)</f>
        <v>59462</v>
      </c>
      <c r="G337" s="465">
        <f t="shared" ref="G337:G400" si="38">SUM(I337,K337,O337,P337,Q337,S337)</f>
        <v>57500</v>
      </c>
      <c r="H337" s="466">
        <v>40140</v>
      </c>
      <c r="I337" s="467">
        <v>28495</v>
      </c>
      <c r="J337" s="466">
        <v>3813</v>
      </c>
      <c r="K337" s="467">
        <v>2287</v>
      </c>
      <c r="L337" s="466">
        <v>15509</v>
      </c>
      <c r="M337" s="466"/>
      <c r="N337" s="466"/>
      <c r="O337" s="467">
        <v>26718</v>
      </c>
      <c r="P337" s="467"/>
      <c r="Q337" s="467"/>
      <c r="R337" s="466"/>
      <c r="S337" s="467"/>
      <c r="T337" s="464">
        <f t="shared" ref="T337:T400" si="39">SUM(V337,X337,Z337,AA337,AB337,AF337)</f>
        <v>39</v>
      </c>
      <c r="U337" s="465">
        <f t="shared" ref="U337:U400" si="40">SUM(W337,Y337,AC337,AD337,AE337,AG337)</f>
        <v>15</v>
      </c>
      <c r="V337" s="466">
        <v>39</v>
      </c>
      <c r="W337" s="467">
        <v>15</v>
      </c>
      <c r="X337" s="466"/>
      <c r="Y337" s="467"/>
      <c r="Z337" s="466"/>
      <c r="AA337" s="466"/>
      <c r="AB337" s="466"/>
      <c r="AC337" s="467"/>
      <c r="AD337" s="467"/>
      <c r="AE337" s="467"/>
      <c r="AF337" s="466"/>
      <c r="AG337" s="467"/>
    </row>
    <row r="338" spans="1:33" s="14" customFormat="1" ht="15" customHeight="1">
      <c r="A338" s="383" t="s">
        <v>353</v>
      </c>
      <c r="B338" s="366" t="s">
        <v>365</v>
      </c>
      <c r="C338" s="385"/>
      <c r="D338" s="368">
        <v>218742</v>
      </c>
      <c r="E338" s="368">
        <v>6</v>
      </c>
      <c r="F338" s="464">
        <f t="shared" si="37"/>
        <v>156255</v>
      </c>
      <c r="G338" s="465">
        <f t="shared" si="38"/>
        <v>144446</v>
      </c>
      <c r="H338" s="466">
        <v>106954</v>
      </c>
      <c r="I338" s="467">
        <v>51603</v>
      </c>
      <c r="J338" s="466">
        <v>9960</v>
      </c>
      <c r="K338" s="467">
        <v>5438</v>
      </c>
      <c r="L338" s="466">
        <v>39341</v>
      </c>
      <c r="M338" s="466"/>
      <c r="N338" s="466"/>
      <c r="O338" s="467">
        <v>87405</v>
      </c>
      <c r="P338" s="467"/>
      <c r="Q338" s="467"/>
      <c r="R338" s="466"/>
      <c r="S338" s="467"/>
      <c r="T338" s="464">
        <f t="shared" si="39"/>
        <v>5254</v>
      </c>
      <c r="U338" s="465">
        <f t="shared" si="40"/>
        <v>6643</v>
      </c>
      <c r="V338" s="466">
        <v>3516</v>
      </c>
      <c r="W338" s="467">
        <v>2341</v>
      </c>
      <c r="X338" s="466">
        <v>1034</v>
      </c>
      <c r="Y338" s="467">
        <v>54</v>
      </c>
      <c r="Z338" s="466">
        <v>704</v>
      </c>
      <c r="AA338" s="466"/>
      <c r="AB338" s="466"/>
      <c r="AC338" s="467">
        <v>4248</v>
      </c>
      <c r="AD338" s="467"/>
      <c r="AE338" s="467"/>
      <c r="AF338" s="466"/>
      <c r="AG338" s="467"/>
    </row>
    <row r="339" spans="1:33" s="14" customFormat="1" ht="15" customHeight="1">
      <c r="A339" s="383" t="s">
        <v>353</v>
      </c>
      <c r="B339" s="366" t="s">
        <v>367</v>
      </c>
      <c r="C339" s="385"/>
      <c r="D339" s="368">
        <v>218113</v>
      </c>
      <c r="E339" s="368">
        <v>8</v>
      </c>
      <c r="F339" s="464">
        <f t="shared" si="37"/>
        <v>228040</v>
      </c>
      <c r="G339" s="465">
        <f t="shared" si="38"/>
        <v>223915</v>
      </c>
      <c r="H339" s="466">
        <v>142775</v>
      </c>
      <c r="I339" s="467">
        <v>72880</v>
      </c>
      <c r="J339" s="466">
        <v>15840</v>
      </c>
      <c r="K339" s="467">
        <v>9502</v>
      </c>
      <c r="L339" s="466">
        <v>69425</v>
      </c>
      <c r="M339" s="466"/>
      <c r="N339" s="466"/>
      <c r="O339" s="467">
        <v>141533</v>
      </c>
      <c r="P339" s="467"/>
      <c r="Q339" s="467"/>
      <c r="R339" s="466"/>
      <c r="S339" s="467"/>
      <c r="T339" s="464">
        <f t="shared" si="39"/>
        <v>0</v>
      </c>
      <c r="U339" s="465">
        <f t="shared" si="40"/>
        <v>0</v>
      </c>
      <c r="V339" s="466"/>
      <c r="W339" s="467"/>
      <c r="X339" s="466"/>
      <c r="Y339" s="467"/>
      <c r="Z339" s="466"/>
      <c r="AA339" s="466"/>
      <c r="AB339" s="466"/>
      <c r="AC339" s="467"/>
      <c r="AD339" s="467"/>
      <c r="AE339" s="467"/>
      <c r="AF339" s="466"/>
      <c r="AG339" s="467"/>
    </row>
    <row r="340" spans="1:33" s="14" customFormat="1" ht="15" customHeight="1">
      <c r="A340" s="383" t="s">
        <v>353</v>
      </c>
      <c r="B340" s="366" t="s">
        <v>368</v>
      </c>
      <c r="C340" s="460" t="s">
        <v>910</v>
      </c>
      <c r="D340" s="368">
        <v>218140</v>
      </c>
      <c r="E340" s="368">
        <v>8</v>
      </c>
      <c r="F340" s="464">
        <f t="shared" si="37"/>
        <v>154207</v>
      </c>
      <c r="G340" s="465">
        <f t="shared" si="38"/>
        <v>148653</v>
      </c>
      <c r="H340" s="466">
        <v>95030</v>
      </c>
      <c r="I340" s="467">
        <v>68821</v>
      </c>
      <c r="J340" s="466">
        <v>6745</v>
      </c>
      <c r="K340" s="467">
        <v>20723</v>
      </c>
      <c r="L340" s="466">
        <v>52432</v>
      </c>
      <c r="M340" s="466"/>
      <c r="N340" s="466"/>
      <c r="O340" s="467">
        <v>59109</v>
      </c>
      <c r="P340" s="467"/>
      <c r="Q340" s="467"/>
      <c r="R340" s="466"/>
      <c r="S340" s="467"/>
      <c r="T340" s="464">
        <f t="shared" si="39"/>
        <v>0</v>
      </c>
      <c r="U340" s="465">
        <f t="shared" si="40"/>
        <v>0</v>
      </c>
      <c r="V340" s="466"/>
      <c r="W340" s="467"/>
      <c r="X340" s="466"/>
      <c r="Y340" s="467"/>
      <c r="Z340" s="466"/>
      <c r="AA340" s="466"/>
      <c r="AB340" s="466"/>
      <c r="AC340" s="467"/>
      <c r="AD340" s="467"/>
      <c r="AE340" s="467"/>
      <c r="AF340" s="466"/>
      <c r="AG340" s="467"/>
    </row>
    <row r="341" spans="1:33" s="14" customFormat="1" ht="15" customHeight="1">
      <c r="A341" s="383" t="s">
        <v>353</v>
      </c>
      <c r="B341" s="366" t="s">
        <v>369</v>
      </c>
      <c r="C341" s="385"/>
      <c r="D341" s="368">
        <v>218353</v>
      </c>
      <c r="E341" s="368">
        <v>8</v>
      </c>
      <c r="F341" s="464">
        <f t="shared" si="37"/>
        <v>203271</v>
      </c>
      <c r="G341" s="465">
        <f t="shared" si="38"/>
        <v>197166</v>
      </c>
      <c r="H341" s="466">
        <v>130286</v>
      </c>
      <c r="I341" s="467">
        <v>74937</v>
      </c>
      <c r="J341" s="466">
        <v>15492</v>
      </c>
      <c r="K341" s="467">
        <v>15404</v>
      </c>
      <c r="L341" s="466">
        <v>57493</v>
      </c>
      <c r="M341" s="466"/>
      <c r="N341" s="466"/>
      <c r="O341" s="467">
        <v>106825</v>
      </c>
      <c r="P341" s="467"/>
      <c r="Q341" s="467"/>
      <c r="R341" s="466"/>
      <c r="S341" s="467"/>
      <c r="T341" s="464">
        <f t="shared" si="39"/>
        <v>0</v>
      </c>
      <c r="U341" s="465">
        <f t="shared" si="40"/>
        <v>0</v>
      </c>
      <c r="V341" s="466"/>
      <c r="W341" s="467"/>
      <c r="X341" s="466"/>
      <c r="Y341" s="467"/>
      <c r="Z341" s="466"/>
      <c r="AA341" s="466"/>
      <c r="AB341" s="466"/>
      <c r="AC341" s="467"/>
      <c r="AD341" s="467"/>
      <c r="AE341" s="467"/>
      <c r="AF341" s="466"/>
      <c r="AG341" s="467"/>
    </row>
    <row r="342" spans="1:33" s="14" customFormat="1" ht="15" customHeight="1">
      <c r="A342" s="383" t="s">
        <v>353</v>
      </c>
      <c r="B342" s="366" t="s">
        <v>372</v>
      </c>
      <c r="C342" s="385"/>
      <c r="D342" s="368">
        <v>218894</v>
      </c>
      <c r="E342" s="368">
        <v>8</v>
      </c>
      <c r="F342" s="464">
        <f t="shared" si="37"/>
        <v>251840</v>
      </c>
      <c r="G342" s="465">
        <f t="shared" si="38"/>
        <v>246575</v>
      </c>
      <c r="H342" s="466">
        <v>94044</v>
      </c>
      <c r="I342" s="467">
        <v>35746</v>
      </c>
      <c r="J342" s="466">
        <v>22170</v>
      </c>
      <c r="K342" s="467">
        <v>10549</v>
      </c>
      <c r="L342" s="466">
        <v>135626</v>
      </c>
      <c r="M342" s="466"/>
      <c r="N342" s="466"/>
      <c r="O342" s="467">
        <v>200280</v>
      </c>
      <c r="P342" s="467"/>
      <c r="Q342" s="467"/>
      <c r="R342" s="466"/>
      <c r="S342" s="467"/>
      <c r="T342" s="464">
        <f t="shared" si="39"/>
        <v>0</v>
      </c>
      <c r="U342" s="465">
        <f t="shared" si="40"/>
        <v>0</v>
      </c>
      <c r="V342" s="466"/>
      <c r="W342" s="467"/>
      <c r="X342" s="466"/>
      <c r="Y342" s="467"/>
      <c r="Z342" s="466"/>
      <c r="AA342" s="466"/>
      <c r="AB342" s="466"/>
      <c r="AC342" s="467"/>
      <c r="AD342" s="467"/>
      <c r="AE342" s="467"/>
      <c r="AF342" s="466"/>
      <c r="AG342" s="467"/>
    </row>
    <row r="343" spans="1:33" s="14" customFormat="1" ht="15" customHeight="1">
      <c r="A343" s="383" t="s">
        <v>353</v>
      </c>
      <c r="B343" s="366" t="s">
        <v>374</v>
      </c>
      <c r="C343" s="385"/>
      <c r="D343" s="368">
        <v>218858</v>
      </c>
      <c r="E343" s="368">
        <v>9</v>
      </c>
      <c r="F343" s="464">
        <f t="shared" si="37"/>
        <v>73177</v>
      </c>
      <c r="G343" s="465">
        <f t="shared" si="38"/>
        <v>65661</v>
      </c>
      <c r="H343" s="466">
        <v>36888</v>
      </c>
      <c r="I343" s="467">
        <v>23457</v>
      </c>
      <c r="J343" s="466">
        <v>3978</v>
      </c>
      <c r="K343" s="467">
        <v>6987</v>
      </c>
      <c r="L343" s="466">
        <v>32311</v>
      </c>
      <c r="M343" s="466"/>
      <c r="N343" s="466"/>
      <c r="O343" s="467">
        <v>35217</v>
      </c>
      <c r="P343" s="467"/>
      <c r="Q343" s="467"/>
      <c r="R343" s="466"/>
      <c r="S343" s="467"/>
      <c r="T343" s="464">
        <f t="shared" si="39"/>
        <v>0</v>
      </c>
      <c r="U343" s="465">
        <f t="shared" si="40"/>
        <v>0</v>
      </c>
      <c r="V343" s="466"/>
      <c r="W343" s="467"/>
      <c r="X343" s="466"/>
      <c r="Y343" s="467"/>
      <c r="Z343" s="466"/>
      <c r="AA343" s="466"/>
      <c r="AB343" s="466"/>
      <c r="AC343" s="467"/>
      <c r="AD343" s="467"/>
      <c r="AE343" s="467"/>
      <c r="AF343" s="466"/>
      <c r="AG343" s="467"/>
    </row>
    <row r="344" spans="1:33" s="14" customFormat="1" ht="15" customHeight="1">
      <c r="A344" s="383" t="s">
        <v>353</v>
      </c>
      <c r="B344" s="366" t="s">
        <v>366</v>
      </c>
      <c r="C344" s="384"/>
      <c r="D344" s="368">
        <v>218025</v>
      </c>
      <c r="E344" s="368">
        <v>9</v>
      </c>
      <c r="F344" s="464">
        <f t="shared" si="37"/>
        <v>78530</v>
      </c>
      <c r="G344" s="465">
        <f t="shared" si="38"/>
        <v>71082</v>
      </c>
      <c r="H344" s="466">
        <v>46857</v>
      </c>
      <c r="I344" s="467">
        <v>25544</v>
      </c>
      <c r="J344" s="466">
        <v>5720</v>
      </c>
      <c r="K344" s="467">
        <v>3920</v>
      </c>
      <c r="L344" s="466">
        <v>22744</v>
      </c>
      <c r="M344" s="466">
        <v>3209</v>
      </c>
      <c r="N344" s="466"/>
      <c r="O344" s="467">
        <v>40424</v>
      </c>
      <c r="P344" s="467">
        <v>1194</v>
      </c>
      <c r="Q344" s="467"/>
      <c r="R344" s="466"/>
      <c r="S344" s="467"/>
      <c r="T344" s="464">
        <f t="shared" si="39"/>
        <v>0</v>
      </c>
      <c r="U344" s="465">
        <f t="shared" si="40"/>
        <v>0</v>
      </c>
      <c r="V344" s="466"/>
      <c r="W344" s="467"/>
      <c r="X344" s="466"/>
      <c r="Y344" s="467"/>
      <c r="Z344" s="466"/>
      <c r="AA344" s="466"/>
      <c r="AB344" s="466"/>
      <c r="AC344" s="467"/>
      <c r="AD344" s="467"/>
      <c r="AE344" s="467"/>
      <c r="AF344" s="466"/>
      <c r="AG344" s="467"/>
    </row>
    <row r="345" spans="1:33" s="14" customFormat="1" ht="15" customHeight="1">
      <c r="A345" s="383" t="s">
        <v>353</v>
      </c>
      <c r="B345" s="366" t="s">
        <v>370</v>
      </c>
      <c r="C345" s="384"/>
      <c r="D345" s="368">
        <v>218520</v>
      </c>
      <c r="E345" s="368">
        <v>9</v>
      </c>
      <c r="F345" s="464">
        <f t="shared" si="37"/>
        <v>103825</v>
      </c>
      <c r="G345" s="465">
        <f t="shared" si="38"/>
        <v>106149</v>
      </c>
      <c r="H345" s="466">
        <v>39867</v>
      </c>
      <c r="I345" s="467">
        <v>20122</v>
      </c>
      <c r="J345" s="466">
        <v>12139</v>
      </c>
      <c r="K345" s="467">
        <v>10156</v>
      </c>
      <c r="L345" s="466">
        <v>45622</v>
      </c>
      <c r="M345" s="466">
        <v>6197</v>
      </c>
      <c r="N345" s="466"/>
      <c r="O345" s="467">
        <v>72472</v>
      </c>
      <c r="P345" s="467">
        <v>3399</v>
      </c>
      <c r="Q345" s="467"/>
      <c r="R345" s="466"/>
      <c r="S345" s="467"/>
      <c r="T345" s="464">
        <f t="shared" si="39"/>
        <v>0</v>
      </c>
      <c r="U345" s="465">
        <f t="shared" si="40"/>
        <v>0</v>
      </c>
      <c r="V345" s="466"/>
      <c r="W345" s="467"/>
      <c r="X345" s="466"/>
      <c r="Y345" s="467"/>
      <c r="Z345" s="466"/>
      <c r="AA345" s="466"/>
      <c r="AB345" s="466"/>
      <c r="AC345" s="467"/>
      <c r="AD345" s="467"/>
      <c r="AE345" s="467"/>
      <c r="AF345" s="466"/>
      <c r="AG345" s="467"/>
    </row>
    <row r="346" spans="1:33" s="14" customFormat="1" ht="15" customHeight="1">
      <c r="A346" s="383" t="s">
        <v>353</v>
      </c>
      <c r="B346" s="366" t="s">
        <v>376</v>
      </c>
      <c r="C346" s="385"/>
      <c r="D346" s="368">
        <v>218830</v>
      </c>
      <c r="E346" s="368">
        <v>9</v>
      </c>
      <c r="F346" s="464">
        <f t="shared" si="37"/>
        <v>97123</v>
      </c>
      <c r="G346" s="465">
        <f t="shared" si="38"/>
        <v>92922</v>
      </c>
      <c r="H346" s="466">
        <v>61816</v>
      </c>
      <c r="I346" s="467">
        <v>44098</v>
      </c>
      <c r="J346" s="466">
        <v>10427</v>
      </c>
      <c r="K346" s="467">
        <v>12778</v>
      </c>
      <c r="L346" s="466">
        <v>24880</v>
      </c>
      <c r="M346" s="466"/>
      <c r="N346" s="466"/>
      <c r="O346" s="467">
        <v>36046</v>
      </c>
      <c r="P346" s="467"/>
      <c r="Q346" s="467"/>
      <c r="R346" s="466"/>
      <c r="S346" s="467"/>
      <c r="T346" s="464">
        <f t="shared" si="39"/>
        <v>0</v>
      </c>
      <c r="U346" s="465">
        <f t="shared" si="40"/>
        <v>0</v>
      </c>
      <c r="V346" s="466"/>
      <c r="W346" s="467"/>
      <c r="X346" s="466"/>
      <c r="Y346" s="467"/>
      <c r="Z346" s="466"/>
      <c r="AA346" s="466"/>
      <c r="AB346" s="466"/>
      <c r="AC346" s="467"/>
      <c r="AD346" s="467"/>
      <c r="AE346" s="467"/>
      <c r="AF346" s="466"/>
      <c r="AG346" s="467"/>
    </row>
    <row r="347" spans="1:33" s="14" customFormat="1" ht="15" customHeight="1">
      <c r="A347" s="383" t="s">
        <v>353</v>
      </c>
      <c r="B347" s="366" t="s">
        <v>371</v>
      </c>
      <c r="C347" s="384"/>
      <c r="D347" s="368">
        <v>218885</v>
      </c>
      <c r="E347" s="368">
        <v>9</v>
      </c>
      <c r="F347" s="464">
        <f t="shared" si="37"/>
        <v>145876</v>
      </c>
      <c r="G347" s="465">
        <f t="shared" si="38"/>
        <v>141207</v>
      </c>
      <c r="H347" s="466">
        <v>96691</v>
      </c>
      <c r="I347" s="467">
        <v>44090</v>
      </c>
      <c r="J347" s="466">
        <v>7278</v>
      </c>
      <c r="K347" s="467">
        <v>4553</v>
      </c>
      <c r="L347" s="466">
        <v>41907</v>
      </c>
      <c r="M347" s="466"/>
      <c r="N347" s="466"/>
      <c r="O347" s="467">
        <v>92564</v>
      </c>
      <c r="P347" s="467"/>
      <c r="Q347" s="467"/>
      <c r="R347" s="466"/>
      <c r="S347" s="467"/>
      <c r="T347" s="464">
        <f t="shared" si="39"/>
        <v>0</v>
      </c>
      <c r="U347" s="465">
        <f t="shared" si="40"/>
        <v>0</v>
      </c>
      <c r="V347" s="466"/>
      <c r="W347" s="467"/>
      <c r="X347" s="466"/>
      <c r="Y347" s="467"/>
      <c r="Z347" s="466"/>
      <c r="AA347" s="466"/>
      <c r="AB347" s="466"/>
      <c r="AC347" s="467"/>
      <c r="AD347" s="467"/>
      <c r="AE347" s="467"/>
      <c r="AF347" s="466"/>
      <c r="AG347" s="467"/>
    </row>
    <row r="348" spans="1:33" s="14" customFormat="1" ht="15" customHeight="1">
      <c r="A348" s="383" t="s">
        <v>353</v>
      </c>
      <c r="B348" s="366" t="s">
        <v>377</v>
      </c>
      <c r="C348" s="385"/>
      <c r="D348" s="368">
        <v>218991</v>
      </c>
      <c r="E348" s="368">
        <v>9</v>
      </c>
      <c r="F348" s="464">
        <f t="shared" si="37"/>
        <v>99223</v>
      </c>
      <c r="G348" s="465">
        <f t="shared" si="38"/>
        <v>96947</v>
      </c>
      <c r="H348" s="466">
        <v>49344</v>
      </c>
      <c r="I348" s="467">
        <v>11343</v>
      </c>
      <c r="J348" s="466">
        <v>6693</v>
      </c>
      <c r="K348" s="467">
        <v>5013</v>
      </c>
      <c r="L348" s="466">
        <v>43186</v>
      </c>
      <c r="M348" s="466"/>
      <c r="N348" s="466"/>
      <c r="O348" s="467">
        <v>80591</v>
      </c>
      <c r="P348" s="467"/>
      <c r="Q348" s="467"/>
      <c r="R348" s="466"/>
      <c r="S348" s="467"/>
      <c r="T348" s="464">
        <f t="shared" si="39"/>
        <v>0</v>
      </c>
      <c r="U348" s="465">
        <f t="shared" si="40"/>
        <v>0</v>
      </c>
      <c r="V348" s="466"/>
      <c r="W348" s="467"/>
      <c r="X348" s="466"/>
      <c r="Y348" s="467"/>
      <c r="Z348" s="466"/>
      <c r="AA348" s="466"/>
      <c r="AB348" s="466"/>
      <c r="AC348" s="467"/>
      <c r="AD348" s="467"/>
      <c r="AE348" s="467"/>
      <c r="AF348" s="466"/>
      <c r="AG348" s="467"/>
    </row>
    <row r="349" spans="1:33" s="14" customFormat="1" ht="12.75" customHeight="1">
      <c r="A349" s="383" t="s">
        <v>353</v>
      </c>
      <c r="B349" s="366" t="s">
        <v>373</v>
      </c>
      <c r="C349" s="384"/>
      <c r="D349" s="368">
        <v>217615</v>
      </c>
      <c r="E349" s="368">
        <v>10</v>
      </c>
      <c r="F349" s="464">
        <f t="shared" si="37"/>
        <v>46634</v>
      </c>
      <c r="G349" s="465">
        <f t="shared" si="38"/>
        <v>42315</v>
      </c>
      <c r="H349" s="466">
        <v>30978</v>
      </c>
      <c r="I349" s="467">
        <v>16175</v>
      </c>
      <c r="J349" s="466">
        <v>2864</v>
      </c>
      <c r="K349" s="467">
        <v>2092</v>
      </c>
      <c r="L349" s="466">
        <v>12792</v>
      </c>
      <c r="M349" s="466"/>
      <c r="N349" s="466"/>
      <c r="O349" s="467">
        <v>24048</v>
      </c>
      <c r="P349" s="467"/>
      <c r="Q349" s="467"/>
      <c r="R349" s="466"/>
      <c r="S349" s="467"/>
      <c r="T349" s="464">
        <f t="shared" si="39"/>
        <v>0</v>
      </c>
      <c r="U349" s="465">
        <f t="shared" si="40"/>
        <v>0</v>
      </c>
      <c r="V349" s="466"/>
      <c r="W349" s="467"/>
      <c r="X349" s="466"/>
      <c r="Y349" s="467"/>
      <c r="Z349" s="466"/>
      <c r="AA349" s="466"/>
      <c r="AB349" s="466"/>
      <c r="AC349" s="467"/>
      <c r="AD349" s="467"/>
      <c r="AE349" s="467"/>
      <c r="AF349" s="466"/>
      <c r="AG349" s="467"/>
    </row>
    <row r="350" spans="1:33" s="14" customFormat="1" ht="12.75" customHeight="1">
      <c r="A350" s="383" t="s">
        <v>353</v>
      </c>
      <c r="B350" s="366" t="s">
        <v>378</v>
      </c>
      <c r="C350" s="367"/>
      <c r="D350" s="368">
        <v>217989</v>
      </c>
      <c r="E350" s="368">
        <v>10</v>
      </c>
      <c r="F350" s="464">
        <f t="shared" si="37"/>
        <v>11901</v>
      </c>
      <c r="G350" s="465">
        <f t="shared" si="38"/>
        <v>12654</v>
      </c>
      <c r="H350" s="466">
        <v>5094</v>
      </c>
      <c r="I350" s="467">
        <v>3133</v>
      </c>
      <c r="J350" s="466">
        <v>1109</v>
      </c>
      <c r="K350" s="467">
        <v>885</v>
      </c>
      <c r="L350" s="466">
        <v>5698</v>
      </c>
      <c r="M350" s="466"/>
      <c r="N350" s="466"/>
      <c r="O350" s="467">
        <v>8636</v>
      </c>
      <c r="P350" s="467"/>
      <c r="Q350" s="467"/>
      <c r="R350" s="466"/>
      <c r="S350" s="467"/>
      <c r="T350" s="464">
        <f t="shared" si="39"/>
        <v>0</v>
      </c>
      <c r="U350" s="465">
        <f t="shared" si="40"/>
        <v>0</v>
      </c>
      <c r="V350" s="466"/>
      <c r="W350" s="467"/>
      <c r="X350" s="466"/>
      <c r="Y350" s="467"/>
      <c r="Z350" s="466"/>
      <c r="AA350" s="466"/>
      <c r="AB350" s="466"/>
      <c r="AC350" s="467"/>
      <c r="AD350" s="467"/>
      <c r="AE350" s="467"/>
      <c r="AF350" s="466"/>
      <c r="AG350" s="467"/>
    </row>
    <row r="351" spans="1:33" s="14" customFormat="1" ht="12.75" customHeight="1">
      <c r="A351" s="383" t="s">
        <v>353</v>
      </c>
      <c r="B351" s="366" t="s">
        <v>379</v>
      </c>
      <c r="C351" s="367"/>
      <c r="D351" s="368">
        <v>217837</v>
      </c>
      <c r="E351" s="368">
        <v>10</v>
      </c>
      <c r="F351" s="464">
        <f t="shared" si="37"/>
        <v>27291</v>
      </c>
      <c r="G351" s="465">
        <f t="shared" si="38"/>
        <v>28692</v>
      </c>
      <c r="H351" s="466">
        <v>5890</v>
      </c>
      <c r="I351" s="467">
        <v>3246</v>
      </c>
      <c r="J351" s="466">
        <v>2607</v>
      </c>
      <c r="K351" s="467">
        <v>583</v>
      </c>
      <c r="L351" s="466">
        <v>16295</v>
      </c>
      <c r="M351" s="466">
        <v>2499</v>
      </c>
      <c r="N351" s="466"/>
      <c r="O351" s="467">
        <v>24285</v>
      </c>
      <c r="P351" s="467">
        <v>578</v>
      </c>
      <c r="Q351" s="467"/>
      <c r="R351" s="466"/>
      <c r="S351" s="467"/>
      <c r="T351" s="464">
        <f t="shared" si="39"/>
        <v>0</v>
      </c>
      <c r="U351" s="465">
        <f t="shared" si="40"/>
        <v>0</v>
      </c>
      <c r="V351" s="466"/>
      <c r="W351" s="467"/>
      <c r="X351" s="466"/>
      <c r="Y351" s="467"/>
      <c r="Z351" s="466"/>
      <c r="AA351" s="466"/>
      <c r="AB351" s="466"/>
      <c r="AC351" s="467"/>
      <c r="AD351" s="467"/>
      <c r="AE351" s="467"/>
      <c r="AF351" s="466"/>
      <c r="AG351" s="467"/>
    </row>
    <row r="352" spans="1:33" s="14" customFormat="1" ht="12.75" customHeight="1">
      <c r="A352" s="383" t="s">
        <v>353</v>
      </c>
      <c r="B352" s="366" t="s">
        <v>375</v>
      </c>
      <c r="C352" s="384"/>
      <c r="D352" s="368">
        <v>218487</v>
      </c>
      <c r="E352" s="368">
        <v>10</v>
      </c>
      <c r="F352" s="464">
        <f t="shared" si="37"/>
        <v>50568</v>
      </c>
      <c r="G352" s="465">
        <f t="shared" si="38"/>
        <v>48358</v>
      </c>
      <c r="H352" s="466">
        <v>25998</v>
      </c>
      <c r="I352" s="467">
        <v>14266</v>
      </c>
      <c r="J352" s="466">
        <v>9324</v>
      </c>
      <c r="K352" s="467">
        <v>5505</v>
      </c>
      <c r="L352" s="466">
        <v>15246</v>
      </c>
      <c r="M352" s="466"/>
      <c r="N352" s="466"/>
      <c r="O352" s="467">
        <v>28587</v>
      </c>
      <c r="P352" s="467"/>
      <c r="Q352" s="467"/>
      <c r="R352" s="466"/>
      <c r="S352" s="467"/>
      <c r="T352" s="464">
        <f t="shared" si="39"/>
        <v>0</v>
      </c>
      <c r="U352" s="465">
        <f t="shared" si="40"/>
        <v>0</v>
      </c>
      <c r="V352" s="466"/>
      <c r="W352" s="467"/>
      <c r="X352" s="466"/>
      <c r="Y352" s="467"/>
      <c r="Z352" s="466"/>
      <c r="AA352" s="466"/>
      <c r="AB352" s="466"/>
      <c r="AC352" s="467"/>
      <c r="AD352" s="467"/>
      <c r="AE352" s="467"/>
      <c r="AF352" s="466"/>
      <c r="AG352" s="467"/>
    </row>
    <row r="353" spans="1:33" s="14" customFormat="1" ht="12.75" customHeight="1">
      <c r="A353" s="383" t="s">
        <v>353</v>
      </c>
      <c r="B353" s="366" t="s">
        <v>380</v>
      </c>
      <c r="C353" s="367"/>
      <c r="D353" s="368">
        <v>217712</v>
      </c>
      <c r="E353" s="368">
        <v>10</v>
      </c>
      <c r="F353" s="464">
        <f t="shared" si="37"/>
        <v>44205</v>
      </c>
      <c r="G353" s="465">
        <f t="shared" si="38"/>
        <v>42797</v>
      </c>
      <c r="H353" s="466">
        <v>26077</v>
      </c>
      <c r="I353" s="467">
        <v>12921</v>
      </c>
      <c r="J353" s="466">
        <v>1544</v>
      </c>
      <c r="K353" s="467">
        <v>1127</v>
      </c>
      <c r="L353" s="466">
        <v>16584</v>
      </c>
      <c r="M353" s="466"/>
      <c r="N353" s="466"/>
      <c r="O353" s="467">
        <v>28749</v>
      </c>
      <c r="P353" s="467"/>
      <c r="Q353" s="467"/>
      <c r="R353" s="466"/>
      <c r="S353" s="467"/>
      <c r="T353" s="464">
        <f t="shared" si="39"/>
        <v>0</v>
      </c>
      <c r="U353" s="465">
        <f t="shared" si="40"/>
        <v>0</v>
      </c>
      <c r="V353" s="466"/>
      <c r="W353" s="467"/>
      <c r="X353" s="466"/>
      <c r="Y353" s="467"/>
      <c r="Z353" s="466"/>
      <c r="AA353" s="466"/>
      <c r="AB353" s="466"/>
      <c r="AC353" s="467"/>
      <c r="AD353" s="467"/>
      <c r="AE353" s="467"/>
      <c r="AF353" s="466"/>
      <c r="AG353" s="467"/>
    </row>
    <row r="354" spans="1:33" s="14" customFormat="1" ht="12.75" customHeight="1">
      <c r="A354" s="383" t="s">
        <v>353</v>
      </c>
      <c r="B354" s="366" t="s">
        <v>381</v>
      </c>
      <c r="C354" s="367"/>
      <c r="D354" s="368">
        <v>218672</v>
      </c>
      <c r="E354" s="368">
        <v>10</v>
      </c>
      <c r="F354" s="464">
        <f t="shared" si="37"/>
        <v>33443</v>
      </c>
      <c r="G354" s="465">
        <f t="shared" si="38"/>
        <v>35556</v>
      </c>
      <c r="H354" s="466">
        <v>25072</v>
      </c>
      <c r="I354" s="467">
        <v>13308</v>
      </c>
      <c r="J354" s="466">
        <v>791</v>
      </c>
      <c r="K354" s="467">
        <v>558</v>
      </c>
      <c r="L354" s="466">
        <v>2606</v>
      </c>
      <c r="M354" s="466"/>
      <c r="N354" s="466">
        <v>4974</v>
      </c>
      <c r="O354" s="467">
        <v>16135</v>
      </c>
      <c r="P354" s="467"/>
      <c r="Q354" s="467">
        <v>5555</v>
      </c>
      <c r="R354" s="466"/>
      <c r="S354" s="467"/>
      <c r="T354" s="464">
        <f t="shared" si="39"/>
        <v>0</v>
      </c>
      <c r="U354" s="465">
        <f t="shared" si="40"/>
        <v>0</v>
      </c>
      <c r="V354" s="466"/>
      <c r="W354" s="467"/>
      <c r="X354" s="466"/>
      <c r="Y354" s="467"/>
      <c r="Z354" s="466"/>
      <c r="AA354" s="466"/>
      <c r="AB354" s="466"/>
      <c r="AC354" s="467"/>
      <c r="AD354" s="467"/>
      <c r="AE354" s="467"/>
      <c r="AF354" s="466"/>
      <c r="AG354" s="467"/>
    </row>
    <row r="355" spans="1:33" s="14" customFormat="1" ht="12.75" customHeight="1">
      <c r="A355" s="383" t="s">
        <v>353</v>
      </c>
      <c r="B355" s="366" t="s">
        <v>382</v>
      </c>
      <c r="C355" s="367"/>
      <c r="D355" s="368">
        <v>218681</v>
      </c>
      <c r="E355" s="368">
        <v>10</v>
      </c>
      <c r="F355" s="464">
        <f t="shared" si="37"/>
        <v>19210</v>
      </c>
      <c r="G355" s="465">
        <f t="shared" si="38"/>
        <v>19067</v>
      </c>
      <c r="H355" s="466">
        <v>13797</v>
      </c>
      <c r="I355" s="467">
        <v>8363</v>
      </c>
      <c r="J355" s="466">
        <v>2793</v>
      </c>
      <c r="K355" s="467">
        <v>4696</v>
      </c>
      <c r="L355" s="466">
        <v>2620</v>
      </c>
      <c r="M355" s="466"/>
      <c r="N355" s="466"/>
      <c r="O355" s="467">
        <v>6008</v>
      </c>
      <c r="P355" s="467"/>
      <c r="Q355" s="467"/>
      <c r="R355" s="466"/>
      <c r="S355" s="467"/>
      <c r="T355" s="464">
        <f t="shared" si="39"/>
        <v>3</v>
      </c>
      <c r="U355" s="465">
        <f t="shared" si="40"/>
        <v>0</v>
      </c>
      <c r="V355" s="466"/>
      <c r="W355" s="467"/>
      <c r="X355" s="466"/>
      <c r="Y355" s="467"/>
      <c r="Z355" s="466">
        <v>3</v>
      </c>
      <c r="AA355" s="466"/>
      <c r="AB355" s="466"/>
      <c r="AC355" s="467"/>
      <c r="AD355" s="467"/>
      <c r="AE355" s="467"/>
      <c r="AF355" s="466"/>
      <c r="AG355" s="467"/>
    </row>
    <row r="356" spans="1:33" s="14" customFormat="1" ht="15" customHeight="1">
      <c r="A356" s="383" t="s">
        <v>353</v>
      </c>
      <c r="B356" s="366" t="s">
        <v>383</v>
      </c>
      <c r="C356" s="385"/>
      <c r="D356" s="368">
        <v>218690</v>
      </c>
      <c r="E356" s="368">
        <v>10</v>
      </c>
      <c r="F356" s="464">
        <f t="shared" si="37"/>
        <v>24544</v>
      </c>
      <c r="G356" s="465">
        <f t="shared" si="38"/>
        <v>25148</v>
      </c>
      <c r="H356" s="466">
        <v>15829</v>
      </c>
      <c r="I356" s="467">
        <v>8910</v>
      </c>
      <c r="J356" s="466">
        <v>4613</v>
      </c>
      <c r="K356" s="467">
        <v>3331</v>
      </c>
      <c r="L356" s="466">
        <v>4102</v>
      </c>
      <c r="M356" s="466"/>
      <c r="N356" s="466"/>
      <c r="O356" s="467">
        <v>12907</v>
      </c>
      <c r="P356" s="467"/>
      <c r="Q356" s="467"/>
      <c r="R356" s="466"/>
      <c r="S356" s="467"/>
      <c r="T356" s="464">
        <f t="shared" si="39"/>
        <v>0</v>
      </c>
      <c r="U356" s="465">
        <f t="shared" si="40"/>
        <v>0</v>
      </c>
      <c r="V356" s="466"/>
      <c r="W356" s="467"/>
      <c r="X356" s="466"/>
      <c r="Y356" s="467"/>
      <c r="Z356" s="466"/>
      <c r="AA356" s="466"/>
      <c r="AB356" s="466"/>
      <c r="AC356" s="467"/>
      <c r="AD356" s="467"/>
      <c r="AE356" s="467"/>
      <c r="AF356" s="466"/>
      <c r="AG356" s="467"/>
    </row>
    <row r="357" spans="1:33" s="14" customFormat="1" ht="15" customHeight="1">
      <c r="A357" s="383" t="s">
        <v>353</v>
      </c>
      <c r="B357" s="366" t="s">
        <v>384</v>
      </c>
      <c r="C357" s="385"/>
      <c r="D357" s="368">
        <v>218706</v>
      </c>
      <c r="E357" s="368">
        <v>10</v>
      </c>
      <c r="F357" s="464">
        <f t="shared" si="37"/>
        <v>20044</v>
      </c>
      <c r="G357" s="465">
        <f t="shared" si="38"/>
        <v>20397</v>
      </c>
      <c r="H357" s="466">
        <v>9363</v>
      </c>
      <c r="I357" s="467">
        <v>5628</v>
      </c>
      <c r="J357" s="466">
        <v>7213</v>
      </c>
      <c r="K357" s="467">
        <v>5727</v>
      </c>
      <c r="L357" s="466">
        <v>3468</v>
      </c>
      <c r="M357" s="466"/>
      <c r="N357" s="466"/>
      <c r="O357" s="467">
        <v>9042</v>
      </c>
      <c r="P357" s="467"/>
      <c r="Q357" s="467"/>
      <c r="R357" s="466"/>
      <c r="S357" s="467"/>
      <c r="T357" s="464">
        <f t="shared" si="39"/>
        <v>0</v>
      </c>
      <c r="U357" s="465">
        <f t="shared" si="40"/>
        <v>0</v>
      </c>
      <c r="V357" s="466"/>
      <c r="W357" s="467"/>
      <c r="X357" s="466"/>
      <c r="Y357" s="467"/>
      <c r="Z357" s="466"/>
      <c r="AA357" s="466"/>
      <c r="AB357" s="466"/>
      <c r="AC357" s="467"/>
      <c r="AD357" s="467"/>
      <c r="AE357" s="467"/>
      <c r="AF357" s="466"/>
      <c r="AG357" s="467"/>
    </row>
    <row r="358" spans="1:33" s="14" customFormat="1" ht="15" customHeight="1">
      <c r="A358" s="383" t="s">
        <v>353</v>
      </c>
      <c r="B358" s="370" t="s">
        <v>734</v>
      </c>
      <c r="C358" s="385"/>
      <c r="D358" s="368">
        <v>218955</v>
      </c>
      <c r="E358" s="368">
        <v>10</v>
      </c>
      <c r="F358" s="464">
        <f t="shared" si="37"/>
        <v>15847</v>
      </c>
      <c r="G358" s="465">
        <f t="shared" si="38"/>
        <v>13846</v>
      </c>
      <c r="H358" s="466">
        <v>10182</v>
      </c>
      <c r="I358" s="467">
        <v>6102</v>
      </c>
      <c r="J358" s="466">
        <v>3651</v>
      </c>
      <c r="K358" s="467">
        <v>1899</v>
      </c>
      <c r="L358" s="466">
        <v>2014</v>
      </c>
      <c r="M358" s="466"/>
      <c r="N358" s="466"/>
      <c r="O358" s="467">
        <v>5845</v>
      </c>
      <c r="P358" s="467"/>
      <c r="Q358" s="467"/>
      <c r="R358" s="466"/>
      <c r="S358" s="467"/>
      <c r="T358" s="464">
        <f t="shared" si="39"/>
        <v>0</v>
      </c>
      <c r="U358" s="465">
        <f t="shared" si="40"/>
        <v>0</v>
      </c>
      <c r="V358" s="466"/>
      <c r="W358" s="467"/>
      <c r="X358" s="466"/>
      <c r="Y358" s="467"/>
      <c r="Z358" s="466"/>
      <c r="AA358" s="466"/>
      <c r="AB358" s="466"/>
      <c r="AC358" s="467"/>
      <c r="AD358" s="467"/>
      <c r="AE358" s="467"/>
      <c r="AF358" s="466"/>
      <c r="AG358" s="467"/>
    </row>
    <row r="359" spans="1:33" s="14" customFormat="1" ht="13.5" customHeight="1">
      <c r="A359" s="346" t="s">
        <v>385</v>
      </c>
      <c r="B359" s="347" t="s">
        <v>386</v>
      </c>
      <c r="C359" s="348"/>
      <c r="D359" s="346">
        <v>220862</v>
      </c>
      <c r="E359" s="346">
        <v>1</v>
      </c>
      <c r="F359" s="464">
        <f t="shared" si="37"/>
        <v>405032</v>
      </c>
      <c r="G359" s="465">
        <f t="shared" si="38"/>
        <v>414134</v>
      </c>
      <c r="H359" s="466">
        <v>247000</v>
      </c>
      <c r="I359" s="467">
        <v>232227</v>
      </c>
      <c r="J359" s="466">
        <v>19611</v>
      </c>
      <c r="K359" s="467">
        <v>20303</v>
      </c>
      <c r="L359" s="466">
        <v>100487</v>
      </c>
      <c r="M359" s="466">
        <v>102</v>
      </c>
      <c r="N359" s="466">
        <v>35033</v>
      </c>
      <c r="O359" s="467">
        <v>131866</v>
      </c>
      <c r="P359" s="467">
        <v>0</v>
      </c>
      <c r="Q359" s="467">
        <v>27537</v>
      </c>
      <c r="R359" s="466">
        <v>2799</v>
      </c>
      <c r="S359" s="467">
        <v>2201</v>
      </c>
      <c r="T359" s="464">
        <f t="shared" si="39"/>
        <v>63984</v>
      </c>
      <c r="U359" s="465">
        <f t="shared" si="40"/>
        <v>68997</v>
      </c>
      <c r="V359" s="466">
        <v>34570</v>
      </c>
      <c r="W359" s="467">
        <v>32955</v>
      </c>
      <c r="X359" s="466">
        <v>87</v>
      </c>
      <c r="Y359" s="467">
        <v>78</v>
      </c>
      <c r="Z359" s="466">
        <v>22996</v>
      </c>
      <c r="AA359" s="466">
        <v>255</v>
      </c>
      <c r="AB359" s="466">
        <v>2975</v>
      </c>
      <c r="AC359" s="467">
        <v>29499</v>
      </c>
      <c r="AD359" s="467">
        <v>225</v>
      </c>
      <c r="AE359" s="467">
        <v>3341</v>
      </c>
      <c r="AF359" s="466">
        <v>3101</v>
      </c>
      <c r="AG359" s="467">
        <v>2899</v>
      </c>
    </row>
    <row r="360" spans="1:33" s="14" customFormat="1" ht="12.75" customHeight="1">
      <c r="A360" s="423" t="s">
        <v>385</v>
      </c>
      <c r="B360" s="347" t="s">
        <v>387</v>
      </c>
      <c r="C360" s="349"/>
      <c r="D360" s="346">
        <v>221759</v>
      </c>
      <c r="E360" s="346">
        <v>1</v>
      </c>
      <c r="F360" s="464">
        <f t="shared" si="37"/>
        <v>644562</v>
      </c>
      <c r="G360" s="465">
        <f t="shared" si="38"/>
        <v>672972</v>
      </c>
      <c r="H360" s="466">
        <v>602666</v>
      </c>
      <c r="I360" s="467">
        <v>587265</v>
      </c>
      <c r="J360" s="466">
        <v>0</v>
      </c>
      <c r="K360" s="467">
        <v>0</v>
      </c>
      <c r="L360" s="466">
        <v>36239</v>
      </c>
      <c r="M360" s="466">
        <v>0</v>
      </c>
      <c r="N360" s="466">
        <v>1620</v>
      </c>
      <c r="O360" s="467">
        <v>81623</v>
      </c>
      <c r="P360" s="467">
        <v>0</v>
      </c>
      <c r="Q360" s="467">
        <v>832</v>
      </c>
      <c r="R360" s="466">
        <v>4037</v>
      </c>
      <c r="S360" s="467">
        <v>3252</v>
      </c>
      <c r="T360" s="464">
        <f t="shared" si="39"/>
        <v>91235</v>
      </c>
      <c r="U360" s="465">
        <f t="shared" si="40"/>
        <v>98584</v>
      </c>
      <c r="V360" s="466">
        <v>66616</v>
      </c>
      <c r="W360" s="467">
        <v>58033</v>
      </c>
      <c r="X360" s="466">
        <v>2127</v>
      </c>
      <c r="Y360" s="467">
        <v>1775</v>
      </c>
      <c r="Z360" s="466">
        <v>19236</v>
      </c>
      <c r="AA360" s="466">
        <v>12</v>
      </c>
      <c r="AB360" s="466">
        <v>969</v>
      </c>
      <c r="AC360" s="467">
        <v>36000</v>
      </c>
      <c r="AD360" s="467">
        <v>72</v>
      </c>
      <c r="AE360" s="467">
        <v>822</v>
      </c>
      <c r="AF360" s="466">
        <v>2275</v>
      </c>
      <c r="AG360" s="467">
        <v>1882</v>
      </c>
    </row>
    <row r="361" spans="1:33" s="14" customFormat="1" ht="12.75" customHeight="1">
      <c r="A361" s="423" t="s">
        <v>385</v>
      </c>
      <c r="B361" s="347" t="s">
        <v>388</v>
      </c>
      <c r="C361" s="348"/>
      <c r="D361" s="346">
        <v>220075</v>
      </c>
      <c r="E361" s="346">
        <v>2</v>
      </c>
      <c r="F361" s="464">
        <f t="shared" si="37"/>
        <v>302716</v>
      </c>
      <c r="G361" s="465">
        <f t="shared" si="38"/>
        <v>296444</v>
      </c>
      <c r="H361" s="466">
        <v>182037</v>
      </c>
      <c r="I361" s="467">
        <v>166500</v>
      </c>
      <c r="J361" s="466">
        <v>12122</v>
      </c>
      <c r="K361" s="467">
        <v>10828</v>
      </c>
      <c r="L361" s="466">
        <v>82575</v>
      </c>
      <c r="M361" s="466">
        <v>9018</v>
      </c>
      <c r="N361" s="466">
        <v>14559</v>
      </c>
      <c r="O361" s="467">
        <v>96660</v>
      </c>
      <c r="P361" s="467">
        <v>7234</v>
      </c>
      <c r="Q361" s="467">
        <v>13567</v>
      </c>
      <c r="R361" s="466">
        <v>2405</v>
      </c>
      <c r="S361" s="467">
        <v>1655</v>
      </c>
      <c r="T361" s="464">
        <f t="shared" si="39"/>
        <v>45398</v>
      </c>
      <c r="U361" s="465">
        <f t="shared" si="40"/>
        <v>45058</v>
      </c>
      <c r="V361" s="466">
        <v>17091</v>
      </c>
      <c r="W361" s="467">
        <v>14493</v>
      </c>
      <c r="X361" s="466">
        <v>1150</v>
      </c>
      <c r="Y361" s="467">
        <v>469</v>
      </c>
      <c r="Z361" s="466">
        <v>23238</v>
      </c>
      <c r="AA361" s="466">
        <v>330</v>
      </c>
      <c r="AB361" s="466">
        <v>1376</v>
      </c>
      <c r="AC361" s="467">
        <v>27023</v>
      </c>
      <c r="AD361" s="467">
        <v>102</v>
      </c>
      <c r="AE361" s="467">
        <v>1438</v>
      </c>
      <c r="AF361" s="466">
        <v>2213</v>
      </c>
      <c r="AG361" s="467">
        <v>1533</v>
      </c>
    </row>
    <row r="362" spans="1:33" s="14" customFormat="1" ht="12.75" customHeight="1">
      <c r="A362" s="346" t="s">
        <v>385</v>
      </c>
      <c r="B362" s="347" t="s">
        <v>391</v>
      </c>
      <c r="C362" s="386"/>
      <c r="D362" s="346">
        <v>220978</v>
      </c>
      <c r="E362" s="346">
        <v>2</v>
      </c>
      <c r="F362" s="464">
        <f t="shared" si="37"/>
        <v>495503</v>
      </c>
      <c r="G362" s="465">
        <f t="shared" si="38"/>
        <v>496957</v>
      </c>
      <c r="H362" s="466">
        <v>380999</v>
      </c>
      <c r="I362" s="467">
        <v>256789</v>
      </c>
      <c r="J362" s="466">
        <v>7777</v>
      </c>
      <c r="K362" s="467">
        <v>7497</v>
      </c>
      <c r="L362" s="466">
        <v>82270</v>
      </c>
      <c r="M362" s="466">
        <v>23</v>
      </c>
      <c r="N362" s="466">
        <v>20484</v>
      </c>
      <c r="O362" s="467">
        <v>213421</v>
      </c>
      <c r="P362" s="467">
        <v>6</v>
      </c>
      <c r="Q362" s="467">
        <v>16424</v>
      </c>
      <c r="R362" s="466">
        <v>3950</v>
      </c>
      <c r="S362" s="467">
        <v>2820</v>
      </c>
      <c r="T362" s="464">
        <f t="shared" si="39"/>
        <v>34306</v>
      </c>
      <c r="U362" s="465">
        <f t="shared" si="40"/>
        <v>38815</v>
      </c>
      <c r="V362" s="466">
        <v>18213</v>
      </c>
      <c r="W362" s="467">
        <v>13645</v>
      </c>
      <c r="X362" s="466">
        <v>1981</v>
      </c>
      <c r="Y362" s="467">
        <v>791</v>
      </c>
      <c r="Z362" s="466">
        <v>11493</v>
      </c>
      <c r="AA362" s="466">
        <v>0</v>
      </c>
      <c r="AB362" s="466">
        <v>619</v>
      </c>
      <c r="AC362" s="467">
        <v>22107</v>
      </c>
      <c r="AD362" s="467">
        <v>0</v>
      </c>
      <c r="AE362" s="467">
        <v>603</v>
      </c>
      <c r="AF362" s="466">
        <v>2000</v>
      </c>
      <c r="AG362" s="467">
        <v>1669</v>
      </c>
    </row>
    <row r="363" spans="1:33" s="14" customFormat="1" ht="12.75" customHeight="1">
      <c r="A363" s="423" t="s">
        <v>385</v>
      </c>
      <c r="B363" s="347" t="s">
        <v>389</v>
      </c>
      <c r="C363" s="348"/>
      <c r="D363" s="346">
        <v>221838</v>
      </c>
      <c r="E363" s="346">
        <v>2</v>
      </c>
      <c r="F363" s="464">
        <f t="shared" si="37"/>
        <v>156680</v>
      </c>
      <c r="G363" s="465">
        <f t="shared" si="38"/>
        <v>95724</v>
      </c>
      <c r="H363" s="466">
        <v>118551</v>
      </c>
      <c r="I363" s="467">
        <v>49849</v>
      </c>
      <c r="J363" s="466">
        <v>18346</v>
      </c>
      <c r="K363" s="467">
        <v>9226</v>
      </c>
      <c r="L363" s="466">
        <v>17164</v>
      </c>
      <c r="M363" s="466">
        <v>0</v>
      </c>
      <c r="N363" s="466">
        <v>1935</v>
      </c>
      <c r="O363" s="467">
        <v>30769</v>
      </c>
      <c r="P363" s="467">
        <v>0</v>
      </c>
      <c r="Q363" s="467">
        <v>5571</v>
      </c>
      <c r="R363" s="466">
        <v>684</v>
      </c>
      <c r="S363" s="467">
        <v>309</v>
      </c>
      <c r="T363" s="464">
        <f t="shared" si="39"/>
        <v>24128</v>
      </c>
      <c r="U363" s="465">
        <f t="shared" si="40"/>
        <v>17346</v>
      </c>
      <c r="V363" s="466">
        <v>10742</v>
      </c>
      <c r="W363" s="467">
        <v>6762</v>
      </c>
      <c r="X363" s="466">
        <v>5591</v>
      </c>
      <c r="Y363" s="467">
        <v>1628</v>
      </c>
      <c r="Z363" s="466">
        <v>6492</v>
      </c>
      <c r="AA363" s="466">
        <v>0</v>
      </c>
      <c r="AB363" s="466">
        <v>944</v>
      </c>
      <c r="AC363" s="467">
        <v>6833</v>
      </c>
      <c r="AD363" s="467">
        <v>0</v>
      </c>
      <c r="AE363" s="467">
        <v>1854</v>
      </c>
      <c r="AF363" s="466">
        <v>359</v>
      </c>
      <c r="AG363" s="467">
        <v>269</v>
      </c>
    </row>
    <row r="364" spans="1:33" s="14" customFormat="1" ht="15" customHeight="1">
      <c r="A364" s="423" t="s">
        <v>385</v>
      </c>
      <c r="B364" s="347" t="s">
        <v>390</v>
      </c>
      <c r="C364" s="349"/>
      <c r="D364" s="346">
        <v>219602</v>
      </c>
      <c r="E364" s="346">
        <v>3</v>
      </c>
      <c r="F364" s="464">
        <f t="shared" si="37"/>
        <v>247322</v>
      </c>
      <c r="G364" s="465">
        <f t="shared" si="38"/>
        <v>225669</v>
      </c>
      <c r="H364" s="466">
        <v>146208</v>
      </c>
      <c r="I364" s="467">
        <v>66586</v>
      </c>
      <c r="J364" s="466">
        <v>12995</v>
      </c>
      <c r="K364" s="467">
        <v>7894</v>
      </c>
      <c r="L364" s="466">
        <v>72863</v>
      </c>
      <c r="M364" s="466">
        <v>0</v>
      </c>
      <c r="N364" s="466">
        <v>14026</v>
      </c>
      <c r="O364" s="467">
        <v>99019</v>
      </c>
      <c r="P364" s="467">
        <v>0</v>
      </c>
      <c r="Q364" s="467">
        <v>50526</v>
      </c>
      <c r="R364" s="466">
        <v>1230</v>
      </c>
      <c r="S364" s="467">
        <v>1644</v>
      </c>
      <c r="T364" s="464">
        <f t="shared" si="39"/>
        <v>19334</v>
      </c>
      <c r="U364" s="465">
        <f t="shared" si="40"/>
        <v>20028</v>
      </c>
      <c r="V364" s="466">
        <v>4376</v>
      </c>
      <c r="W364" s="467">
        <v>2079</v>
      </c>
      <c r="X364" s="466">
        <v>6</v>
      </c>
      <c r="Y364" s="467">
        <v>0</v>
      </c>
      <c r="Z364" s="466">
        <v>13289</v>
      </c>
      <c r="AA364" s="466">
        <v>0</v>
      </c>
      <c r="AB364" s="466">
        <v>1309</v>
      </c>
      <c r="AC364" s="467">
        <v>14854</v>
      </c>
      <c r="AD364" s="467">
        <v>0</v>
      </c>
      <c r="AE364" s="467">
        <v>2427</v>
      </c>
      <c r="AF364" s="466">
        <v>354</v>
      </c>
      <c r="AG364" s="467">
        <v>668</v>
      </c>
    </row>
    <row r="365" spans="1:33" s="14" customFormat="1" ht="15" customHeight="1">
      <c r="A365" s="346" t="s">
        <v>385</v>
      </c>
      <c r="B365" s="347" t="s">
        <v>392</v>
      </c>
      <c r="C365" s="387"/>
      <c r="D365" s="346">
        <v>221847</v>
      </c>
      <c r="E365" s="346">
        <v>3</v>
      </c>
      <c r="F365" s="464">
        <f t="shared" si="37"/>
        <v>242827</v>
      </c>
      <c r="G365" s="465">
        <f t="shared" si="38"/>
        <v>240055</v>
      </c>
      <c r="H365" s="466">
        <v>146426</v>
      </c>
      <c r="I365" s="467">
        <v>125584</v>
      </c>
      <c r="J365" s="466">
        <v>5302</v>
      </c>
      <c r="K365" s="467">
        <v>4399</v>
      </c>
      <c r="L365" s="466">
        <v>26667</v>
      </c>
      <c r="M365" s="466">
        <v>0</v>
      </c>
      <c r="N365" s="466">
        <v>61836</v>
      </c>
      <c r="O365" s="467">
        <v>37308</v>
      </c>
      <c r="P365" s="467">
        <v>0</v>
      </c>
      <c r="Q365" s="467">
        <v>70348</v>
      </c>
      <c r="R365" s="466">
        <v>2596</v>
      </c>
      <c r="S365" s="467">
        <v>2416</v>
      </c>
      <c r="T365" s="464">
        <f t="shared" si="39"/>
        <v>16610</v>
      </c>
      <c r="U365" s="465">
        <f t="shared" si="40"/>
        <v>18595</v>
      </c>
      <c r="V365" s="466">
        <v>3383</v>
      </c>
      <c r="W365" s="467">
        <v>2914</v>
      </c>
      <c r="X365" s="466">
        <v>141</v>
      </c>
      <c r="Y365" s="467">
        <v>54</v>
      </c>
      <c r="Z365" s="466">
        <v>10377</v>
      </c>
      <c r="AA365" s="466">
        <v>0</v>
      </c>
      <c r="AB365" s="466">
        <v>1775</v>
      </c>
      <c r="AC365" s="467">
        <v>11823</v>
      </c>
      <c r="AD365" s="467">
        <v>0</v>
      </c>
      <c r="AE365" s="467">
        <v>2950</v>
      </c>
      <c r="AF365" s="466">
        <v>934</v>
      </c>
      <c r="AG365" s="467">
        <v>854</v>
      </c>
    </row>
    <row r="366" spans="1:33" s="14" customFormat="1" ht="15" customHeight="1">
      <c r="A366" s="423" t="s">
        <v>385</v>
      </c>
      <c r="B366" s="347" t="s">
        <v>393</v>
      </c>
      <c r="C366" s="387"/>
      <c r="D366" s="346">
        <v>221740</v>
      </c>
      <c r="E366" s="346">
        <v>3</v>
      </c>
      <c r="F366" s="464">
        <f t="shared" si="37"/>
        <v>282887</v>
      </c>
      <c r="G366" s="465">
        <f t="shared" si="38"/>
        <v>287566</v>
      </c>
      <c r="H366" s="466">
        <v>221900</v>
      </c>
      <c r="I366" s="467">
        <v>104332</v>
      </c>
      <c r="J366" s="466">
        <v>447</v>
      </c>
      <c r="K366" s="467">
        <v>140</v>
      </c>
      <c r="L366" s="466">
        <v>59314</v>
      </c>
      <c r="M366" s="466">
        <v>0</v>
      </c>
      <c r="N366" s="466">
        <v>6</v>
      </c>
      <c r="O366" s="467">
        <v>182164</v>
      </c>
      <c r="P366" s="467">
        <v>0</v>
      </c>
      <c r="Q366" s="467">
        <v>3</v>
      </c>
      <c r="R366" s="466">
        <v>1220</v>
      </c>
      <c r="S366" s="467">
        <v>927</v>
      </c>
      <c r="T366" s="464">
        <f t="shared" si="39"/>
        <v>26353</v>
      </c>
      <c r="U366" s="465">
        <f t="shared" si="40"/>
        <v>27496</v>
      </c>
      <c r="V366" s="466">
        <v>16261</v>
      </c>
      <c r="W366" s="467">
        <v>8448</v>
      </c>
      <c r="X366" s="466">
        <v>0</v>
      </c>
      <c r="Y366" s="467">
        <v>0</v>
      </c>
      <c r="Z366" s="466">
        <v>9812</v>
      </c>
      <c r="AA366" s="466">
        <v>0</v>
      </c>
      <c r="AB366" s="466">
        <v>0</v>
      </c>
      <c r="AC366" s="467">
        <v>18846</v>
      </c>
      <c r="AD366" s="467">
        <v>0</v>
      </c>
      <c r="AE366" s="467">
        <v>0</v>
      </c>
      <c r="AF366" s="466">
        <v>280</v>
      </c>
      <c r="AG366" s="467">
        <v>202</v>
      </c>
    </row>
    <row r="367" spans="1:33" s="14" customFormat="1" ht="15" customHeight="1">
      <c r="A367" s="423" t="s">
        <v>385</v>
      </c>
      <c r="B367" s="347" t="s">
        <v>394</v>
      </c>
      <c r="C367" s="438" t="s">
        <v>899</v>
      </c>
      <c r="D367" s="439">
        <v>221768</v>
      </c>
      <c r="E367" s="440">
        <v>4</v>
      </c>
      <c r="F367" s="464">
        <f t="shared" si="37"/>
        <v>161305</v>
      </c>
      <c r="G367" s="465">
        <f t="shared" si="38"/>
        <v>159845</v>
      </c>
      <c r="H367" s="466">
        <v>118058</v>
      </c>
      <c r="I367" s="467">
        <v>77520</v>
      </c>
      <c r="J367" s="466">
        <v>14637</v>
      </c>
      <c r="K367" s="467">
        <v>11065</v>
      </c>
      <c r="L367" s="466">
        <v>24076</v>
      </c>
      <c r="M367" s="466">
        <v>4269</v>
      </c>
      <c r="N367" s="466">
        <v>21</v>
      </c>
      <c r="O367" s="467">
        <v>68830</v>
      </c>
      <c r="P367" s="467">
        <v>2174</v>
      </c>
      <c r="Q367" s="467">
        <v>72</v>
      </c>
      <c r="R367" s="466">
        <v>244</v>
      </c>
      <c r="S367" s="467">
        <v>184</v>
      </c>
      <c r="T367" s="464">
        <f t="shared" si="39"/>
        <v>6765</v>
      </c>
      <c r="U367" s="465">
        <f t="shared" si="40"/>
        <v>11662</v>
      </c>
      <c r="V367" s="466">
        <v>651</v>
      </c>
      <c r="W367" s="467">
        <v>562</v>
      </c>
      <c r="X367" s="466">
        <v>3</v>
      </c>
      <c r="Y367" s="467">
        <v>0</v>
      </c>
      <c r="Z367" s="466">
        <v>6111</v>
      </c>
      <c r="AA367" s="466">
        <v>0</v>
      </c>
      <c r="AB367" s="466">
        <v>0</v>
      </c>
      <c r="AC367" s="467">
        <v>11100</v>
      </c>
      <c r="AD367" s="467">
        <v>0</v>
      </c>
      <c r="AE367" s="467">
        <v>0</v>
      </c>
      <c r="AF367" s="466">
        <v>0</v>
      </c>
      <c r="AG367" s="467">
        <v>0</v>
      </c>
    </row>
    <row r="368" spans="1:33" s="14" customFormat="1" ht="15" customHeight="1">
      <c r="A368" s="346" t="s">
        <v>385</v>
      </c>
      <c r="B368" s="347" t="s">
        <v>395</v>
      </c>
      <c r="C368" s="387"/>
      <c r="D368" s="346">
        <v>219824</v>
      </c>
      <c r="E368" s="346">
        <v>8</v>
      </c>
      <c r="F368" s="464">
        <f t="shared" si="37"/>
        <v>161827</v>
      </c>
      <c r="G368" s="465">
        <f t="shared" si="38"/>
        <v>111678</v>
      </c>
      <c r="H368" s="466">
        <v>96596</v>
      </c>
      <c r="I368" s="467">
        <v>43222</v>
      </c>
      <c r="J368" s="466">
        <v>9715</v>
      </c>
      <c r="K368" s="467">
        <v>3836</v>
      </c>
      <c r="L368" s="466">
        <v>43694</v>
      </c>
      <c r="M368" s="466">
        <v>0</v>
      </c>
      <c r="N368" s="466">
        <v>11521</v>
      </c>
      <c r="O368" s="467">
        <v>53542</v>
      </c>
      <c r="P368" s="467">
        <v>0</v>
      </c>
      <c r="Q368" s="467">
        <v>10785</v>
      </c>
      <c r="R368" s="466">
        <v>301</v>
      </c>
      <c r="S368" s="467">
        <v>293</v>
      </c>
      <c r="T368" s="464">
        <f t="shared" si="39"/>
        <v>0</v>
      </c>
      <c r="U368" s="465">
        <f t="shared" si="40"/>
        <v>0</v>
      </c>
      <c r="V368" s="466"/>
      <c r="W368" s="467"/>
      <c r="X368" s="466"/>
      <c r="Y368" s="467"/>
      <c r="Z368" s="466"/>
      <c r="AA368" s="466"/>
      <c r="AB368" s="466"/>
      <c r="AC368" s="467"/>
      <c r="AD368" s="467"/>
      <c r="AE368" s="467"/>
      <c r="AF368" s="466"/>
      <c r="AG368" s="467"/>
    </row>
    <row r="369" spans="1:33" s="14" customFormat="1" ht="15" customHeight="1">
      <c r="A369" s="423" t="s">
        <v>385</v>
      </c>
      <c r="B369" s="347" t="s">
        <v>396</v>
      </c>
      <c r="C369" s="387"/>
      <c r="D369" s="346">
        <v>221184</v>
      </c>
      <c r="E369" s="346">
        <v>8</v>
      </c>
      <c r="F369" s="464">
        <f t="shared" si="37"/>
        <v>156550</v>
      </c>
      <c r="G369" s="465">
        <f t="shared" si="38"/>
        <v>146932</v>
      </c>
      <c r="H369" s="466">
        <v>53784</v>
      </c>
      <c r="I369" s="467">
        <v>26576</v>
      </c>
      <c r="J369" s="466">
        <v>61731</v>
      </c>
      <c r="K369" s="467">
        <v>29122</v>
      </c>
      <c r="L369" s="466">
        <v>35867</v>
      </c>
      <c r="M369" s="466">
        <v>0</v>
      </c>
      <c r="N369" s="466">
        <v>4986</v>
      </c>
      <c r="O369" s="467">
        <v>52562</v>
      </c>
      <c r="P369" s="467">
        <v>33</v>
      </c>
      <c r="Q369" s="467">
        <v>38565</v>
      </c>
      <c r="R369" s="466">
        <v>182</v>
      </c>
      <c r="S369" s="467">
        <v>74</v>
      </c>
      <c r="T369" s="464">
        <f t="shared" si="39"/>
        <v>0</v>
      </c>
      <c r="U369" s="465">
        <f t="shared" si="40"/>
        <v>0</v>
      </c>
      <c r="V369" s="466"/>
      <c r="W369" s="467"/>
      <c r="X369" s="466"/>
      <c r="Y369" s="467"/>
      <c r="Z369" s="466"/>
      <c r="AA369" s="466"/>
      <c r="AB369" s="466"/>
      <c r="AC369" s="467"/>
      <c r="AD369" s="467"/>
      <c r="AE369" s="467"/>
      <c r="AF369" s="466"/>
      <c r="AG369" s="467"/>
    </row>
    <row r="370" spans="1:33" s="14" customFormat="1" ht="15" customHeight="1">
      <c r="A370" s="423" t="s">
        <v>385</v>
      </c>
      <c r="B370" s="347" t="s">
        <v>397</v>
      </c>
      <c r="C370" s="387"/>
      <c r="D370" s="346">
        <v>221643</v>
      </c>
      <c r="E370" s="346">
        <v>8</v>
      </c>
      <c r="F370" s="464">
        <f t="shared" si="37"/>
        <v>214124</v>
      </c>
      <c r="G370" s="465">
        <f t="shared" si="38"/>
        <v>197859</v>
      </c>
      <c r="H370" s="466">
        <v>106006</v>
      </c>
      <c r="I370" s="467">
        <v>43804</v>
      </c>
      <c r="J370" s="466">
        <v>58734</v>
      </c>
      <c r="K370" s="467">
        <v>22255</v>
      </c>
      <c r="L370" s="466">
        <v>42827</v>
      </c>
      <c r="M370" s="466">
        <v>135</v>
      </c>
      <c r="N370" s="466">
        <v>6311</v>
      </c>
      <c r="O370" s="467">
        <v>116666</v>
      </c>
      <c r="P370" s="467">
        <v>75</v>
      </c>
      <c r="Q370" s="467">
        <v>15005</v>
      </c>
      <c r="R370" s="466">
        <v>111</v>
      </c>
      <c r="S370" s="467">
        <v>54</v>
      </c>
      <c r="T370" s="464">
        <f t="shared" si="39"/>
        <v>0</v>
      </c>
      <c r="U370" s="465">
        <f t="shared" si="40"/>
        <v>0</v>
      </c>
      <c r="V370" s="466"/>
      <c r="W370" s="467"/>
      <c r="X370" s="466"/>
      <c r="Y370" s="467"/>
      <c r="Z370" s="466"/>
      <c r="AA370" s="466"/>
      <c r="AB370" s="466"/>
      <c r="AC370" s="467"/>
      <c r="AD370" s="467"/>
      <c r="AE370" s="467"/>
      <c r="AF370" s="466"/>
      <c r="AG370" s="467"/>
    </row>
    <row r="371" spans="1:33" s="14" customFormat="1" ht="15" customHeight="1">
      <c r="A371" s="346" t="s">
        <v>385</v>
      </c>
      <c r="B371" s="347" t="s">
        <v>398</v>
      </c>
      <c r="C371" s="387"/>
      <c r="D371" s="346">
        <v>221485</v>
      </c>
      <c r="E371" s="346">
        <v>8</v>
      </c>
      <c r="F371" s="464">
        <f t="shared" si="37"/>
        <v>163644</v>
      </c>
      <c r="G371" s="465">
        <f t="shared" si="38"/>
        <v>160122</v>
      </c>
      <c r="H371" s="466">
        <v>0</v>
      </c>
      <c r="I371" s="467">
        <v>0</v>
      </c>
      <c r="J371" s="466">
        <v>115219</v>
      </c>
      <c r="K371" s="467">
        <v>50423</v>
      </c>
      <c r="L371" s="466">
        <v>38144</v>
      </c>
      <c r="M371" s="466">
        <v>0</v>
      </c>
      <c r="N371" s="466">
        <v>10249</v>
      </c>
      <c r="O371" s="467">
        <v>76484</v>
      </c>
      <c r="P371" s="467">
        <v>0</v>
      </c>
      <c r="Q371" s="467">
        <v>33035</v>
      </c>
      <c r="R371" s="466">
        <v>32</v>
      </c>
      <c r="S371" s="467">
        <v>180</v>
      </c>
      <c r="T371" s="464">
        <f t="shared" si="39"/>
        <v>0</v>
      </c>
      <c r="U371" s="465">
        <f t="shared" si="40"/>
        <v>0</v>
      </c>
      <c r="V371" s="466"/>
      <c r="W371" s="467"/>
      <c r="X371" s="466"/>
      <c r="Y371" s="467"/>
      <c r="Z371" s="466"/>
      <c r="AA371" s="466"/>
      <c r="AB371" s="466"/>
      <c r="AC371" s="467"/>
      <c r="AD371" s="467"/>
      <c r="AE371" s="467"/>
      <c r="AF371" s="466"/>
      <c r="AG371" s="467"/>
    </row>
    <row r="372" spans="1:33" s="14" customFormat="1" ht="15" customHeight="1">
      <c r="A372" s="423" t="s">
        <v>385</v>
      </c>
      <c r="B372" s="347" t="s">
        <v>399</v>
      </c>
      <c r="C372" s="387"/>
      <c r="D372" s="346">
        <v>222053</v>
      </c>
      <c r="E372" s="346">
        <v>8</v>
      </c>
      <c r="F372" s="464">
        <f t="shared" si="37"/>
        <v>181863</v>
      </c>
      <c r="G372" s="465">
        <f t="shared" si="38"/>
        <v>152858</v>
      </c>
      <c r="H372" s="466">
        <v>87752</v>
      </c>
      <c r="I372" s="467">
        <v>35606</v>
      </c>
      <c r="J372" s="466">
        <v>26774</v>
      </c>
      <c r="K372" s="467">
        <v>13000</v>
      </c>
      <c r="L372" s="466">
        <v>57843</v>
      </c>
      <c r="M372" s="466">
        <v>170</v>
      </c>
      <c r="N372" s="466">
        <v>8735</v>
      </c>
      <c r="O372" s="467">
        <v>96348</v>
      </c>
      <c r="P372" s="467">
        <v>1337</v>
      </c>
      <c r="Q372" s="467">
        <v>6126</v>
      </c>
      <c r="R372" s="466">
        <v>589</v>
      </c>
      <c r="S372" s="467">
        <v>441</v>
      </c>
      <c r="T372" s="464">
        <f t="shared" si="39"/>
        <v>0</v>
      </c>
      <c r="U372" s="465">
        <f t="shared" si="40"/>
        <v>0</v>
      </c>
      <c r="V372" s="466"/>
      <c r="W372" s="467"/>
      <c r="X372" s="466"/>
      <c r="Y372" s="467"/>
      <c r="Z372" s="466"/>
      <c r="AA372" s="466"/>
      <c r="AB372" s="466"/>
      <c r="AC372" s="467"/>
      <c r="AD372" s="467"/>
      <c r="AE372" s="467"/>
      <c r="AF372" s="466"/>
      <c r="AG372" s="467"/>
    </row>
    <row r="373" spans="1:33" s="14" customFormat="1" ht="15" customHeight="1">
      <c r="A373" s="423" t="s">
        <v>385</v>
      </c>
      <c r="B373" s="347" t="s">
        <v>400</v>
      </c>
      <c r="C373" s="387"/>
      <c r="D373" s="346">
        <v>219879</v>
      </c>
      <c r="E373" s="346">
        <v>9</v>
      </c>
      <c r="F373" s="464">
        <f t="shared" si="37"/>
        <v>66625</v>
      </c>
      <c r="G373" s="465">
        <f t="shared" si="38"/>
        <v>65272</v>
      </c>
      <c r="H373" s="466">
        <v>32224</v>
      </c>
      <c r="I373" s="467">
        <v>16888</v>
      </c>
      <c r="J373" s="466">
        <v>11068</v>
      </c>
      <c r="K373" s="467">
        <v>6266</v>
      </c>
      <c r="L373" s="466">
        <v>12796</v>
      </c>
      <c r="M373" s="466">
        <v>78</v>
      </c>
      <c r="N373" s="466">
        <v>9707</v>
      </c>
      <c r="O373" s="467">
        <v>19006</v>
      </c>
      <c r="P373" s="467">
        <v>51</v>
      </c>
      <c r="Q373" s="467">
        <v>22423</v>
      </c>
      <c r="R373" s="466">
        <v>752</v>
      </c>
      <c r="S373" s="467">
        <v>638</v>
      </c>
      <c r="T373" s="464">
        <f t="shared" si="39"/>
        <v>0</v>
      </c>
      <c r="U373" s="465">
        <f t="shared" si="40"/>
        <v>0</v>
      </c>
      <c r="V373" s="466"/>
      <c r="W373" s="467"/>
      <c r="X373" s="466"/>
      <c r="Y373" s="467"/>
      <c r="Z373" s="466"/>
      <c r="AA373" s="466"/>
      <c r="AB373" s="466"/>
      <c r="AC373" s="467"/>
      <c r="AD373" s="467"/>
      <c r="AE373" s="467"/>
      <c r="AF373" s="466"/>
      <c r="AG373" s="467"/>
    </row>
    <row r="374" spans="1:33" s="14" customFormat="1" ht="15" customHeight="1">
      <c r="A374" s="346" t="s">
        <v>385</v>
      </c>
      <c r="B374" s="347" t="s">
        <v>401</v>
      </c>
      <c r="C374" s="387"/>
      <c r="D374" s="346">
        <v>219888</v>
      </c>
      <c r="E374" s="346">
        <v>9</v>
      </c>
      <c r="F374" s="464">
        <f t="shared" si="37"/>
        <v>124217</v>
      </c>
      <c r="G374" s="465">
        <f t="shared" si="38"/>
        <v>80936</v>
      </c>
      <c r="H374" s="466">
        <v>35638</v>
      </c>
      <c r="I374" s="467">
        <v>16007</v>
      </c>
      <c r="J374" s="466">
        <v>48703</v>
      </c>
      <c r="K374" s="467">
        <v>20284</v>
      </c>
      <c r="L374" s="466">
        <v>29607</v>
      </c>
      <c r="M374" s="466">
        <v>516</v>
      </c>
      <c r="N374" s="466">
        <v>9523</v>
      </c>
      <c r="O374" s="467">
        <v>35326</v>
      </c>
      <c r="P374" s="467">
        <v>0</v>
      </c>
      <c r="Q374" s="467">
        <v>9087</v>
      </c>
      <c r="R374" s="466">
        <v>230</v>
      </c>
      <c r="S374" s="467">
        <v>232</v>
      </c>
      <c r="T374" s="464">
        <f t="shared" si="39"/>
        <v>0</v>
      </c>
      <c r="U374" s="465">
        <f t="shared" si="40"/>
        <v>0</v>
      </c>
      <c r="V374" s="466"/>
      <c r="W374" s="467"/>
      <c r="X374" s="466"/>
      <c r="Y374" s="467"/>
      <c r="Z374" s="466"/>
      <c r="AA374" s="466"/>
      <c r="AB374" s="466"/>
      <c r="AC374" s="467"/>
      <c r="AD374" s="467"/>
      <c r="AE374" s="467"/>
      <c r="AF374" s="466"/>
      <c r="AG374" s="467"/>
    </row>
    <row r="375" spans="1:33" s="14" customFormat="1" ht="15" customHeight="1">
      <c r="A375" s="423" t="s">
        <v>385</v>
      </c>
      <c r="B375" s="347" t="s">
        <v>403</v>
      </c>
      <c r="C375" s="387"/>
      <c r="D375" s="346">
        <v>220400</v>
      </c>
      <c r="E375" s="346">
        <v>9</v>
      </c>
      <c r="F375" s="464">
        <f t="shared" si="37"/>
        <v>90485</v>
      </c>
      <c r="G375" s="465">
        <f t="shared" si="38"/>
        <v>69811</v>
      </c>
      <c r="H375" s="466">
        <v>43115</v>
      </c>
      <c r="I375" s="467">
        <v>19249</v>
      </c>
      <c r="J375" s="466">
        <v>11322</v>
      </c>
      <c r="K375" s="467">
        <v>6835</v>
      </c>
      <c r="L375" s="466">
        <v>23676</v>
      </c>
      <c r="M375" s="466">
        <v>3732</v>
      </c>
      <c r="N375" s="466">
        <v>8606</v>
      </c>
      <c r="O375" s="467">
        <v>33536</v>
      </c>
      <c r="P375" s="467">
        <v>1402</v>
      </c>
      <c r="Q375" s="467">
        <v>8788</v>
      </c>
      <c r="R375" s="466">
        <v>34</v>
      </c>
      <c r="S375" s="467">
        <v>1</v>
      </c>
      <c r="T375" s="464">
        <f t="shared" si="39"/>
        <v>0</v>
      </c>
      <c r="U375" s="465">
        <f t="shared" si="40"/>
        <v>0</v>
      </c>
      <c r="V375" s="466"/>
      <c r="W375" s="467"/>
      <c r="X375" s="466"/>
      <c r="Y375" s="467"/>
      <c r="Z375" s="466"/>
      <c r="AA375" s="466"/>
      <c r="AB375" s="466"/>
      <c r="AC375" s="467"/>
      <c r="AD375" s="467"/>
      <c r="AE375" s="467"/>
      <c r="AF375" s="466"/>
      <c r="AG375" s="467"/>
    </row>
    <row r="376" spans="1:33" s="14" customFormat="1" ht="15" customHeight="1">
      <c r="A376" s="423" t="s">
        <v>385</v>
      </c>
      <c r="B376" s="347" t="s">
        <v>404</v>
      </c>
      <c r="C376" s="387"/>
      <c r="D376" s="346">
        <v>221096</v>
      </c>
      <c r="E376" s="346">
        <v>9</v>
      </c>
      <c r="F376" s="464">
        <f t="shared" si="37"/>
        <v>138618</v>
      </c>
      <c r="G376" s="465">
        <f t="shared" si="38"/>
        <v>120033</v>
      </c>
      <c r="H376" s="466">
        <v>21203</v>
      </c>
      <c r="I376" s="467">
        <v>9460</v>
      </c>
      <c r="J376" s="466">
        <v>68173</v>
      </c>
      <c r="K376" s="467">
        <v>36805</v>
      </c>
      <c r="L376" s="466">
        <v>39276</v>
      </c>
      <c r="M376" s="466">
        <v>5837</v>
      </c>
      <c r="N376" s="466">
        <v>3852</v>
      </c>
      <c r="O376" s="467">
        <v>61237</v>
      </c>
      <c r="P376" s="467">
        <v>2512</v>
      </c>
      <c r="Q376" s="467">
        <v>9776</v>
      </c>
      <c r="R376" s="466">
        <v>277</v>
      </c>
      <c r="S376" s="467">
        <v>243</v>
      </c>
      <c r="T376" s="464">
        <f t="shared" si="39"/>
        <v>0</v>
      </c>
      <c r="U376" s="465">
        <f t="shared" si="40"/>
        <v>0</v>
      </c>
      <c r="V376" s="466"/>
      <c r="W376" s="467"/>
      <c r="X376" s="466"/>
      <c r="Y376" s="467"/>
      <c r="Z376" s="466"/>
      <c r="AA376" s="466"/>
      <c r="AB376" s="466"/>
      <c r="AC376" s="467"/>
      <c r="AD376" s="467"/>
      <c r="AE376" s="467"/>
      <c r="AF376" s="466"/>
      <c r="AG376" s="467"/>
    </row>
    <row r="377" spans="1:33" s="14" customFormat="1" ht="15" customHeight="1">
      <c r="A377" s="346" t="s">
        <v>385</v>
      </c>
      <c r="B377" s="347" t="s">
        <v>405</v>
      </c>
      <c r="C377" s="387"/>
      <c r="D377" s="346">
        <v>221908</v>
      </c>
      <c r="E377" s="346">
        <v>9</v>
      </c>
      <c r="F377" s="464">
        <f t="shared" si="37"/>
        <v>123234</v>
      </c>
      <c r="G377" s="465">
        <f t="shared" si="38"/>
        <v>107998</v>
      </c>
      <c r="H377" s="466">
        <v>60595</v>
      </c>
      <c r="I377" s="467">
        <v>32806</v>
      </c>
      <c r="J377" s="466">
        <v>34620</v>
      </c>
      <c r="K377" s="467">
        <v>20933</v>
      </c>
      <c r="L377" s="466">
        <v>21569</v>
      </c>
      <c r="M377" s="466">
        <v>1915</v>
      </c>
      <c r="N377" s="466">
        <v>4239</v>
      </c>
      <c r="O377" s="467">
        <v>48996</v>
      </c>
      <c r="P377" s="467">
        <v>727</v>
      </c>
      <c r="Q377" s="467">
        <v>4405</v>
      </c>
      <c r="R377" s="466">
        <v>296</v>
      </c>
      <c r="S377" s="467">
        <v>131</v>
      </c>
      <c r="T377" s="464">
        <f t="shared" si="39"/>
        <v>0</v>
      </c>
      <c r="U377" s="465">
        <f t="shared" si="40"/>
        <v>0</v>
      </c>
      <c r="V377" s="466"/>
      <c r="W377" s="467"/>
      <c r="X377" s="466"/>
      <c r="Y377" s="467"/>
      <c r="Z377" s="466"/>
      <c r="AA377" s="466"/>
      <c r="AB377" s="466"/>
      <c r="AC377" s="467"/>
      <c r="AD377" s="467"/>
      <c r="AE377" s="467"/>
      <c r="AF377" s="466"/>
      <c r="AG377" s="467"/>
    </row>
    <row r="378" spans="1:33" s="14" customFormat="1" ht="15" customHeight="1">
      <c r="A378" s="423" t="s">
        <v>385</v>
      </c>
      <c r="B378" s="347" t="s">
        <v>406</v>
      </c>
      <c r="C378" s="387"/>
      <c r="D378" s="346">
        <v>221397</v>
      </c>
      <c r="E378" s="346">
        <v>9</v>
      </c>
      <c r="F378" s="464">
        <f t="shared" si="37"/>
        <v>113977</v>
      </c>
      <c r="G378" s="465">
        <f t="shared" si="38"/>
        <v>107267</v>
      </c>
      <c r="H378" s="466">
        <v>15436</v>
      </c>
      <c r="I378" s="467">
        <v>13436</v>
      </c>
      <c r="J378" s="466">
        <v>54495</v>
      </c>
      <c r="K378" s="467">
        <v>47461</v>
      </c>
      <c r="L378" s="466">
        <v>29158</v>
      </c>
      <c r="M378" s="466">
        <v>4251</v>
      </c>
      <c r="N378" s="466">
        <v>10593</v>
      </c>
      <c r="O378" s="467">
        <v>33808</v>
      </c>
      <c r="P378" s="467">
        <v>3543</v>
      </c>
      <c r="Q378" s="467">
        <v>8970</v>
      </c>
      <c r="R378" s="466">
        <v>44</v>
      </c>
      <c r="S378" s="467">
        <v>49</v>
      </c>
      <c r="T378" s="464">
        <f t="shared" si="39"/>
        <v>0</v>
      </c>
      <c r="U378" s="465">
        <f t="shared" si="40"/>
        <v>0</v>
      </c>
      <c r="V378" s="466"/>
      <c r="W378" s="467"/>
      <c r="X378" s="466"/>
      <c r="Y378" s="467"/>
      <c r="Z378" s="466"/>
      <c r="AA378" s="466"/>
      <c r="AB378" s="466"/>
      <c r="AC378" s="467"/>
      <c r="AD378" s="467"/>
      <c r="AE378" s="467"/>
      <c r="AF378" s="466"/>
      <c r="AG378" s="467"/>
    </row>
    <row r="379" spans="1:33" s="14" customFormat="1" ht="15" customHeight="1">
      <c r="A379" s="423" t="s">
        <v>385</v>
      </c>
      <c r="B379" s="347" t="s">
        <v>407</v>
      </c>
      <c r="C379" s="387"/>
      <c r="D379" s="346">
        <v>222062</v>
      </c>
      <c r="E379" s="346">
        <v>9</v>
      </c>
      <c r="F379" s="464">
        <f t="shared" si="37"/>
        <v>120814</v>
      </c>
      <c r="G379" s="465">
        <f t="shared" si="38"/>
        <v>108190</v>
      </c>
      <c r="H379" s="466">
        <v>43511</v>
      </c>
      <c r="I379" s="467">
        <v>19500</v>
      </c>
      <c r="J379" s="466">
        <v>41197</v>
      </c>
      <c r="K379" s="467">
        <v>21455</v>
      </c>
      <c r="L379" s="466">
        <v>26072</v>
      </c>
      <c r="M379" s="466">
        <v>6718</v>
      </c>
      <c r="N379" s="466">
        <v>3316</v>
      </c>
      <c r="O379" s="467">
        <v>31058</v>
      </c>
      <c r="P379" s="467">
        <v>3512</v>
      </c>
      <c r="Q379" s="467">
        <v>32665</v>
      </c>
      <c r="R379" s="466">
        <v>0</v>
      </c>
      <c r="S379" s="467">
        <v>0</v>
      </c>
      <c r="T379" s="464">
        <f t="shared" si="39"/>
        <v>0</v>
      </c>
      <c r="U379" s="465">
        <f t="shared" si="40"/>
        <v>0</v>
      </c>
      <c r="V379" s="466"/>
      <c r="W379" s="467"/>
      <c r="X379" s="466"/>
      <c r="Y379" s="467"/>
      <c r="Z379" s="466"/>
      <c r="AA379" s="466"/>
      <c r="AB379" s="466"/>
      <c r="AC379" s="467"/>
      <c r="AD379" s="467"/>
      <c r="AE379" s="467"/>
      <c r="AF379" s="466"/>
      <c r="AG379" s="467"/>
    </row>
    <row r="380" spans="1:33" s="14" customFormat="1" ht="15" customHeight="1">
      <c r="A380" s="346" t="s">
        <v>385</v>
      </c>
      <c r="B380" s="347" t="s">
        <v>402</v>
      </c>
      <c r="C380" s="386"/>
      <c r="D380" s="346">
        <v>220057</v>
      </c>
      <c r="E380" s="346">
        <v>10</v>
      </c>
      <c r="F380" s="464">
        <f t="shared" si="37"/>
        <v>52670</v>
      </c>
      <c r="G380" s="465">
        <f t="shared" si="38"/>
        <v>51028</v>
      </c>
      <c r="H380" s="466">
        <v>16279</v>
      </c>
      <c r="I380" s="467">
        <v>13815</v>
      </c>
      <c r="J380" s="466">
        <v>19381</v>
      </c>
      <c r="K380" s="467">
        <v>16581</v>
      </c>
      <c r="L380" s="466">
        <v>12698</v>
      </c>
      <c r="M380" s="466">
        <v>3386</v>
      </c>
      <c r="N380" s="466">
        <v>706</v>
      </c>
      <c r="O380" s="467">
        <v>16548</v>
      </c>
      <c r="P380" s="467">
        <v>2798</v>
      </c>
      <c r="Q380" s="467">
        <v>1020</v>
      </c>
      <c r="R380" s="466">
        <v>220</v>
      </c>
      <c r="S380" s="467">
        <v>266</v>
      </c>
      <c r="T380" s="464">
        <f t="shared" si="39"/>
        <v>0</v>
      </c>
      <c r="U380" s="465">
        <f t="shared" si="40"/>
        <v>0</v>
      </c>
      <c r="V380" s="466"/>
      <c r="W380" s="467"/>
      <c r="X380" s="466"/>
      <c r="Y380" s="467"/>
      <c r="Z380" s="466"/>
      <c r="AA380" s="466"/>
      <c r="AB380" s="466"/>
      <c r="AC380" s="467"/>
      <c r="AD380" s="467"/>
      <c r="AE380" s="467"/>
      <c r="AF380" s="466"/>
      <c r="AG380" s="467"/>
    </row>
    <row r="381" spans="1:33" s="14" customFormat="1" ht="12.75" customHeight="1">
      <c r="A381" s="423" t="s">
        <v>385</v>
      </c>
      <c r="B381" s="347" t="s">
        <v>410</v>
      </c>
      <c r="C381" s="348"/>
      <c r="D381" s="346">
        <v>219596</v>
      </c>
      <c r="E381" s="346">
        <v>13</v>
      </c>
      <c r="F381" s="464">
        <f t="shared" si="37"/>
        <v>0</v>
      </c>
      <c r="G381" s="465">
        <f t="shared" si="38"/>
        <v>0</v>
      </c>
      <c r="H381" s="466"/>
      <c r="I381" s="467"/>
      <c r="J381" s="466"/>
      <c r="K381" s="467"/>
      <c r="L381" s="466"/>
      <c r="M381" s="466"/>
      <c r="N381" s="466"/>
      <c r="O381" s="467"/>
      <c r="P381" s="467"/>
      <c r="Q381" s="467"/>
      <c r="R381" s="466"/>
      <c r="S381" s="467"/>
      <c r="T381" s="464">
        <f t="shared" si="39"/>
        <v>0</v>
      </c>
      <c r="U381" s="465">
        <f t="shared" si="40"/>
        <v>0</v>
      </c>
      <c r="V381" s="466"/>
      <c r="W381" s="467"/>
      <c r="X381" s="466"/>
      <c r="Y381" s="467"/>
      <c r="Z381" s="466"/>
      <c r="AA381" s="466"/>
      <c r="AB381" s="466"/>
      <c r="AC381" s="467"/>
      <c r="AD381" s="467"/>
      <c r="AE381" s="467"/>
      <c r="AF381" s="466"/>
      <c r="AG381" s="467"/>
    </row>
    <row r="382" spans="1:33" s="14" customFormat="1" ht="15" customHeight="1">
      <c r="A382" s="423" t="s">
        <v>385</v>
      </c>
      <c r="B382" s="347" t="s">
        <v>408</v>
      </c>
      <c r="C382" s="441"/>
      <c r="D382" s="346" t="s">
        <v>409</v>
      </c>
      <c r="E382" s="346">
        <v>13</v>
      </c>
      <c r="F382" s="464">
        <f t="shared" si="37"/>
        <v>0</v>
      </c>
      <c r="G382" s="465">
        <f t="shared" si="38"/>
        <v>0</v>
      </c>
      <c r="H382" s="466"/>
      <c r="I382" s="467"/>
      <c r="J382" s="466"/>
      <c r="K382" s="467"/>
      <c r="L382" s="466"/>
      <c r="M382" s="466"/>
      <c r="N382" s="466"/>
      <c r="O382" s="467"/>
      <c r="P382" s="467"/>
      <c r="Q382" s="467"/>
      <c r="R382" s="466"/>
      <c r="S382" s="467"/>
      <c r="T382" s="464">
        <f t="shared" si="39"/>
        <v>0</v>
      </c>
      <c r="U382" s="465">
        <f t="shared" si="40"/>
        <v>0</v>
      </c>
      <c r="V382" s="466"/>
      <c r="W382" s="467"/>
      <c r="X382" s="466"/>
      <c r="Y382" s="467"/>
      <c r="Z382" s="466"/>
      <c r="AA382" s="466"/>
      <c r="AB382" s="466"/>
      <c r="AC382" s="467"/>
      <c r="AD382" s="467"/>
      <c r="AE382" s="467"/>
      <c r="AF382" s="466"/>
      <c r="AG382" s="467"/>
    </row>
    <row r="383" spans="1:33">
      <c r="A383" s="346" t="s">
        <v>385</v>
      </c>
      <c r="B383" s="347" t="s">
        <v>411</v>
      </c>
      <c r="C383" s="348"/>
      <c r="D383" s="346">
        <v>219921</v>
      </c>
      <c r="E383" s="346">
        <v>13</v>
      </c>
      <c r="F383" s="464">
        <f t="shared" si="37"/>
        <v>0</v>
      </c>
      <c r="G383" s="465">
        <f t="shared" si="38"/>
        <v>0</v>
      </c>
      <c r="H383" s="466"/>
      <c r="I383" s="467"/>
      <c r="J383" s="466"/>
      <c r="K383" s="467"/>
      <c r="L383" s="466"/>
      <c r="M383" s="466"/>
      <c r="N383" s="466"/>
      <c r="O383" s="467"/>
      <c r="P383" s="467"/>
      <c r="Q383" s="467"/>
      <c r="R383" s="466"/>
      <c r="S383" s="467"/>
      <c r="T383" s="464">
        <f t="shared" si="39"/>
        <v>0</v>
      </c>
      <c r="U383" s="465">
        <f t="shared" si="40"/>
        <v>0</v>
      </c>
      <c r="V383" s="466"/>
      <c r="W383" s="467"/>
      <c r="X383" s="466"/>
      <c r="Y383" s="467"/>
      <c r="Z383" s="466"/>
      <c r="AA383" s="466"/>
      <c r="AB383" s="466"/>
      <c r="AC383" s="467"/>
      <c r="AD383" s="467"/>
      <c r="AE383" s="467"/>
      <c r="AF383" s="466"/>
      <c r="AG383" s="467"/>
    </row>
    <row r="384" spans="1:33">
      <c r="A384" s="423" t="s">
        <v>385</v>
      </c>
      <c r="B384" s="347" t="s">
        <v>412</v>
      </c>
      <c r="C384" s="349"/>
      <c r="D384" s="346">
        <v>221591</v>
      </c>
      <c r="E384" s="346">
        <v>13</v>
      </c>
      <c r="F384" s="464">
        <f t="shared" si="37"/>
        <v>0</v>
      </c>
      <c r="G384" s="465">
        <f t="shared" si="38"/>
        <v>0</v>
      </c>
      <c r="H384" s="466"/>
      <c r="I384" s="467"/>
      <c r="J384" s="466"/>
      <c r="K384" s="467"/>
      <c r="L384" s="466"/>
      <c r="M384" s="466"/>
      <c r="N384" s="466"/>
      <c r="O384" s="467"/>
      <c r="P384" s="467"/>
      <c r="Q384" s="467"/>
      <c r="R384" s="466"/>
      <c r="S384" s="467"/>
      <c r="T384" s="464">
        <f t="shared" si="39"/>
        <v>0</v>
      </c>
      <c r="U384" s="465">
        <f t="shared" si="40"/>
        <v>0</v>
      </c>
      <c r="V384" s="466"/>
      <c r="W384" s="467"/>
      <c r="X384" s="466"/>
      <c r="Y384" s="467"/>
      <c r="Z384" s="466"/>
      <c r="AA384" s="466"/>
      <c r="AB384" s="466"/>
      <c r="AC384" s="467"/>
      <c r="AD384" s="467"/>
      <c r="AE384" s="467"/>
      <c r="AF384" s="466"/>
      <c r="AG384" s="467"/>
    </row>
    <row r="385" spans="1:33">
      <c r="A385" s="423" t="s">
        <v>385</v>
      </c>
      <c r="B385" s="347" t="s">
        <v>413</v>
      </c>
      <c r="C385" s="348"/>
      <c r="D385" s="346">
        <v>221430</v>
      </c>
      <c r="E385" s="346">
        <v>13</v>
      </c>
      <c r="F385" s="464">
        <f t="shared" si="37"/>
        <v>0</v>
      </c>
      <c r="G385" s="465">
        <f t="shared" si="38"/>
        <v>0</v>
      </c>
      <c r="H385" s="466"/>
      <c r="I385" s="467"/>
      <c r="J385" s="466"/>
      <c r="K385" s="467"/>
      <c r="L385" s="466"/>
      <c r="M385" s="466"/>
      <c r="N385" s="466"/>
      <c r="O385" s="467"/>
      <c r="P385" s="467"/>
      <c r="Q385" s="467"/>
      <c r="R385" s="466"/>
      <c r="S385" s="467"/>
      <c r="T385" s="464">
        <f t="shared" si="39"/>
        <v>0</v>
      </c>
      <c r="U385" s="465">
        <f t="shared" si="40"/>
        <v>0</v>
      </c>
      <c r="V385" s="466"/>
      <c r="W385" s="467"/>
      <c r="X385" s="466"/>
      <c r="Y385" s="467"/>
      <c r="Z385" s="466"/>
      <c r="AA385" s="466"/>
      <c r="AB385" s="466"/>
      <c r="AC385" s="467"/>
      <c r="AD385" s="467"/>
      <c r="AE385" s="467"/>
      <c r="AF385" s="466"/>
      <c r="AG385" s="467"/>
    </row>
    <row r="386" spans="1:33">
      <c r="A386" s="346" t="s">
        <v>385</v>
      </c>
      <c r="B386" s="347" t="s">
        <v>414</v>
      </c>
      <c r="C386" s="348"/>
      <c r="D386" s="346">
        <v>219994</v>
      </c>
      <c r="E386" s="346">
        <v>13</v>
      </c>
      <c r="F386" s="464">
        <f t="shared" si="37"/>
        <v>0</v>
      </c>
      <c r="G386" s="465">
        <f t="shared" si="38"/>
        <v>0</v>
      </c>
      <c r="H386" s="466"/>
      <c r="I386" s="467"/>
      <c r="J386" s="466"/>
      <c r="K386" s="467"/>
      <c r="L386" s="466"/>
      <c r="M386" s="466"/>
      <c r="N386" s="466"/>
      <c r="O386" s="467"/>
      <c r="P386" s="467"/>
      <c r="Q386" s="467"/>
      <c r="R386" s="466"/>
      <c r="S386" s="467"/>
      <c r="T386" s="464">
        <f t="shared" si="39"/>
        <v>0</v>
      </c>
      <c r="U386" s="465">
        <f t="shared" si="40"/>
        <v>0</v>
      </c>
      <c r="V386" s="466"/>
      <c r="W386" s="467"/>
      <c r="X386" s="466"/>
      <c r="Y386" s="467"/>
      <c r="Z386" s="466"/>
      <c r="AA386" s="466"/>
      <c r="AB386" s="466"/>
      <c r="AC386" s="467"/>
      <c r="AD386" s="467"/>
      <c r="AE386" s="467"/>
      <c r="AF386" s="466"/>
      <c r="AG386" s="467"/>
    </row>
    <row r="387" spans="1:33" s="14" customFormat="1" ht="12.75" customHeight="1">
      <c r="A387" s="423" t="s">
        <v>385</v>
      </c>
      <c r="B387" s="347" t="s">
        <v>415</v>
      </c>
      <c r="C387" s="349"/>
      <c r="D387" s="346">
        <v>220127</v>
      </c>
      <c r="E387" s="346">
        <v>13</v>
      </c>
      <c r="F387" s="464">
        <f t="shared" si="37"/>
        <v>0</v>
      </c>
      <c r="G387" s="465">
        <f t="shared" si="38"/>
        <v>0</v>
      </c>
      <c r="H387" s="466"/>
      <c r="I387" s="467"/>
      <c r="J387" s="466"/>
      <c r="K387" s="467"/>
      <c r="L387" s="466"/>
      <c r="M387" s="466"/>
      <c r="N387" s="466"/>
      <c r="O387" s="467"/>
      <c r="P387" s="467"/>
      <c r="Q387" s="467"/>
      <c r="R387" s="466"/>
      <c r="S387" s="467"/>
      <c r="T387" s="464">
        <f t="shared" si="39"/>
        <v>0</v>
      </c>
      <c r="U387" s="465">
        <f t="shared" si="40"/>
        <v>0</v>
      </c>
      <c r="V387" s="466"/>
      <c r="W387" s="467"/>
      <c r="X387" s="466"/>
      <c r="Y387" s="467"/>
      <c r="Z387" s="466"/>
      <c r="AA387" s="466"/>
      <c r="AB387" s="466"/>
      <c r="AC387" s="467"/>
      <c r="AD387" s="467"/>
      <c r="AE387" s="467"/>
      <c r="AF387" s="466"/>
      <c r="AG387" s="467"/>
    </row>
    <row r="388" spans="1:33">
      <c r="A388" s="423" t="s">
        <v>385</v>
      </c>
      <c r="B388" s="347" t="s">
        <v>416</v>
      </c>
      <c r="C388" s="348"/>
      <c r="D388" s="346">
        <v>220251</v>
      </c>
      <c r="E388" s="346">
        <v>13</v>
      </c>
      <c r="F388" s="464">
        <f t="shared" si="37"/>
        <v>0</v>
      </c>
      <c r="G388" s="465">
        <f t="shared" si="38"/>
        <v>0</v>
      </c>
      <c r="H388" s="466"/>
      <c r="I388" s="467"/>
      <c r="J388" s="466"/>
      <c r="K388" s="467"/>
      <c r="L388" s="466"/>
      <c r="M388" s="466"/>
      <c r="N388" s="466"/>
      <c r="O388" s="467"/>
      <c r="P388" s="467"/>
      <c r="Q388" s="467"/>
      <c r="R388" s="466"/>
      <c r="S388" s="467"/>
      <c r="T388" s="464">
        <f t="shared" si="39"/>
        <v>0</v>
      </c>
      <c r="U388" s="465">
        <f t="shared" si="40"/>
        <v>0</v>
      </c>
      <c r="V388" s="466"/>
      <c r="W388" s="467"/>
      <c r="X388" s="466"/>
      <c r="Y388" s="467"/>
      <c r="Z388" s="466"/>
      <c r="AA388" s="466"/>
      <c r="AB388" s="466"/>
      <c r="AC388" s="467"/>
      <c r="AD388" s="467"/>
      <c r="AE388" s="467"/>
      <c r="AF388" s="466"/>
      <c r="AG388" s="467"/>
    </row>
    <row r="389" spans="1:33" s="14" customFormat="1" ht="12.75" customHeight="1">
      <c r="A389" s="346" t="s">
        <v>385</v>
      </c>
      <c r="B389" s="347" t="s">
        <v>417</v>
      </c>
      <c r="C389" s="348"/>
      <c r="D389" s="346">
        <v>220279</v>
      </c>
      <c r="E389" s="346">
        <v>13</v>
      </c>
      <c r="F389" s="464">
        <f t="shared" si="37"/>
        <v>0</v>
      </c>
      <c r="G389" s="465">
        <f t="shared" si="38"/>
        <v>0</v>
      </c>
      <c r="H389" s="466"/>
      <c r="I389" s="467"/>
      <c r="J389" s="466"/>
      <c r="K389" s="467"/>
      <c r="L389" s="466"/>
      <c r="M389" s="466"/>
      <c r="N389" s="466"/>
      <c r="O389" s="467"/>
      <c r="P389" s="467"/>
      <c r="Q389" s="467"/>
      <c r="R389" s="466"/>
      <c r="S389" s="467"/>
      <c r="T389" s="464">
        <f t="shared" si="39"/>
        <v>0</v>
      </c>
      <c r="U389" s="465">
        <f t="shared" si="40"/>
        <v>0</v>
      </c>
      <c r="V389" s="466"/>
      <c r="W389" s="467"/>
      <c r="X389" s="466"/>
      <c r="Y389" s="467"/>
      <c r="Z389" s="466"/>
      <c r="AA389" s="466"/>
      <c r="AB389" s="466"/>
      <c r="AC389" s="467"/>
      <c r="AD389" s="467"/>
      <c r="AE389" s="467"/>
      <c r="AF389" s="466"/>
      <c r="AG389" s="467"/>
    </row>
    <row r="390" spans="1:33">
      <c r="A390" s="423" t="s">
        <v>385</v>
      </c>
      <c r="B390" s="347" t="s">
        <v>418</v>
      </c>
      <c r="C390" s="349"/>
      <c r="D390" s="346">
        <v>220321</v>
      </c>
      <c r="E390" s="346">
        <v>13</v>
      </c>
      <c r="F390" s="464">
        <f t="shared" si="37"/>
        <v>0</v>
      </c>
      <c r="G390" s="465">
        <f t="shared" si="38"/>
        <v>0</v>
      </c>
      <c r="H390" s="466"/>
      <c r="I390" s="467"/>
      <c r="J390" s="466"/>
      <c r="K390" s="467"/>
      <c r="L390" s="466"/>
      <c r="M390" s="466"/>
      <c r="N390" s="466"/>
      <c r="O390" s="467"/>
      <c r="P390" s="467"/>
      <c r="Q390" s="467"/>
      <c r="R390" s="466"/>
      <c r="S390" s="467"/>
      <c r="T390" s="464">
        <f t="shared" si="39"/>
        <v>0</v>
      </c>
      <c r="U390" s="465">
        <f t="shared" si="40"/>
        <v>0</v>
      </c>
      <c r="V390" s="466"/>
      <c r="W390" s="467"/>
      <c r="X390" s="466"/>
      <c r="Y390" s="467"/>
      <c r="Z390" s="466"/>
      <c r="AA390" s="466"/>
      <c r="AB390" s="466"/>
      <c r="AC390" s="467"/>
      <c r="AD390" s="467"/>
      <c r="AE390" s="467"/>
      <c r="AF390" s="466"/>
      <c r="AG390" s="467"/>
    </row>
    <row r="391" spans="1:33">
      <c r="A391" s="423" t="s">
        <v>385</v>
      </c>
      <c r="B391" s="347" t="s">
        <v>419</v>
      </c>
      <c r="C391" s="348"/>
      <c r="D391" s="346">
        <v>220394</v>
      </c>
      <c r="E391" s="346">
        <v>13</v>
      </c>
      <c r="F391" s="464">
        <f t="shared" si="37"/>
        <v>0</v>
      </c>
      <c r="G391" s="465">
        <f t="shared" si="38"/>
        <v>0</v>
      </c>
      <c r="H391" s="466"/>
      <c r="I391" s="467"/>
      <c r="J391" s="466"/>
      <c r="K391" s="467"/>
      <c r="L391" s="466"/>
      <c r="M391" s="466"/>
      <c r="N391" s="466"/>
      <c r="O391" s="467"/>
      <c r="P391" s="467"/>
      <c r="Q391" s="467"/>
      <c r="R391" s="466"/>
      <c r="S391" s="467"/>
      <c r="T391" s="464">
        <f t="shared" si="39"/>
        <v>0</v>
      </c>
      <c r="U391" s="465">
        <f t="shared" si="40"/>
        <v>0</v>
      </c>
      <c r="V391" s="466"/>
      <c r="W391" s="467"/>
      <c r="X391" s="466"/>
      <c r="Y391" s="467"/>
      <c r="Z391" s="466"/>
      <c r="AA391" s="466"/>
      <c r="AB391" s="466"/>
      <c r="AC391" s="467"/>
      <c r="AD391" s="467"/>
      <c r="AE391" s="467"/>
      <c r="AF391" s="466"/>
      <c r="AG391" s="467"/>
    </row>
    <row r="392" spans="1:33">
      <c r="A392" s="346" t="s">
        <v>385</v>
      </c>
      <c r="B392" s="347" t="s">
        <v>420</v>
      </c>
      <c r="C392" s="348"/>
      <c r="D392" s="346">
        <v>221616</v>
      </c>
      <c r="E392" s="346">
        <v>13</v>
      </c>
      <c r="F392" s="464">
        <f t="shared" si="37"/>
        <v>0</v>
      </c>
      <c r="G392" s="465">
        <f t="shared" si="38"/>
        <v>0</v>
      </c>
      <c r="H392" s="466"/>
      <c r="I392" s="467"/>
      <c r="J392" s="466"/>
      <c r="K392" s="467"/>
      <c r="L392" s="466"/>
      <c r="M392" s="466"/>
      <c r="N392" s="466"/>
      <c r="O392" s="467"/>
      <c r="P392" s="467"/>
      <c r="Q392" s="467"/>
      <c r="R392" s="466"/>
      <c r="S392" s="467"/>
      <c r="T392" s="464">
        <f t="shared" si="39"/>
        <v>0</v>
      </c>
      <c r="U392" s="465">
        <f t="shared" si="40"/>
        <v>0</v>
      </c>
      <c r="V392" s="466"/>
      <c r="W392" s="467"/>
      <c r="X392" s="466"/>
      <c r="Y392" s="467"/>
      <c r="Z392" s="466"/>
      <c r="AA392" s="466"/>
      <c r="AB392" s="466"/>
      <c r="AC392" s="467"/>
      <c r="AD392" s="467"/>
      <c r="AE392" s="467"/>
      <c r="AF392" s="466"/>
      <c r="AG392" s="467"/>
    </row>
    <row r="393" spans="1:33">
      <c r="A393" s="423" t="s">
        <v>385</v>
      </c>
      <c r="B393" s="347" t="s">
        <v>421</v>
      </c>
      <c r="C393" s="349"/>
      <c r="D393" s="346">
        <v>221625</v>
      </c>
      <c r="E393" s="346">
        <v>13</v>
      </c>
      <c r="F393" s="464">
        <f t="shared" si="37"/>
        <v>0</v>
      </c>
      <c r="G393" s="465">
        <f t="shared" si="38"/>
        <v>0</v>
      </c>
      <c r="H393" s="466"/>
      <c r="I393" s="467"/>
      <c r="J393" s="466"/>
      <c r="K393" s="467"/>
      <c r="L393" s="466"/>
      <c r="M393" s="466"/>
      <c r="N393" s="466"/>
      <c r="O393" s="467"/>
      <c r="P393" s="467"/>
      <c r="Q393" s="467"/>
      <c r="R393" s="466"/>
      <c r="S393" s="467"/>
      <c r="T393" s="464">
        <f t="shared" si="39"/>
        <v>0</v>
      </c>
      <c r="U393" s="465">
        <f t="shared" si="40"/>
        <v>0</v>
      </c>
      <c r="V393" s="466"/>
      <c r="W393" s="467"/>
      <c r="X393" s="466"/>
      <c r="Y393" s="467"/>
      <c r="Z393" s="466"/>
      <c r="AA393" s="466"/>
      <c r="AB393" s="466"/>
      <c r="AC393" s="467"/>
      <c r="AD393" s="467"/>
      <c r="AE393" s="467"/>
      <c r="AF393" s="466"/>
      <c r="AG393" s="467"/>
    </row>
    <row r="394" spans="1:33">
      <c r="A394" s="423" t="s">
        <v>385</v>
      </c>
      <c r="B394" s="347" t="s">
        <v>422</v>
      </c>
      <c r="C394" s="348"/>
      <c r="D394" s="346">
        <v>220640</v>
      </c>
      <c r="E394" s="346">
        <v>13</v>
      </c>
      <c r="F394" s="464">
        <f t="shared" si="37"/>
        <v>0</v>
      </c>
      <c r="G394" s="465">
        <f t="shared" si="38"/>
        <v>0</v>
      </c>
      <c r="H394" s="466"/>
      <c r="I394" s="467"/>
      <c r="J394" s="466"/>
      <c r="K394" s="467"/>
      <c r="L394" s="466"/>
      <c r="M394" s="466"/>
      <c r="N394" s="466"/>
      <c r="O394" s="467"/>
      <c r="P394" s="467"/>
      <c r="Q394" s="467"/>
      <c r="R394" s="466"/>
      <c r="S394" s="467"/>
      <c r="T394" s="464">
        <f t="shared" si="39"/>
        <v>0</v>
      </c>
      <c r="U394" s="465">
        <f t="shared" si="40"/>
        <v>0</v>
      </c>
      <c r="V394" s="466"/>
      <c r="W394" s="467"/>
      <c r="X394" s="466"/>
      <c r="Y394" s="467"/>
      <c r="Z394" s="466"/>
      <c r="AA394" s="466"/>
      <c r="AB394" s="466"/>
      <c r="AC394" s="467"/>
      <c r="AD394" s="467"/>
      <c r="AE394" s="467"/>
      <c r="AF394" s="466"/>
      <c r="AG394" s="467"/>
    </row>
    <row r="395" spans="1:33">
      <c r="A395" s="346" t="s">
        <v>385</v>
      </c>
      <c r="B395" s="347" t="s">
        <v>423</v>
      </c>
      <c r="C395" s="348"/>
      <c r="D395" s="346">
        <v>220756</v>
      </c>
      <c r="E395" s="346">
        <v>13</v>
      </c>
      <c r="F395" s="464">
        <f t="shared" si="37"/>
        <v>0</v>
      </c>
      <c r="G395" s="465">
        <f t="shared" si="38"/>
        <v>0</v>
      </c>
      <c r="H395" s="466"/>
      <c r="I395" s="467"/>
      <c r="J395" s="466"/>
      <c r="K395" s="467"/>
      <c r="L395" s="466"/>
      <c r="M395" s="466"/>
      <c r="N395" s="466"/>
      <c r="O395" s="467"/>
      <c r="P395" s="467"/>
      <c r="Q395" s="467"/>
      <c r="R395" s="466"/>
      <c r="S395" s="467"/>
      <c r="T395" s="464">
        <f t="shared" si="39"/>
        <v>0</v>
      </c>
      <c r="U395" s="465">
        <f t="shared" si="40"/>
        <v>0</v>
      </c>
      <c r="V395" s="466"/>
      <c r="W395" s="467"/>
      <c r="X395" s="466"/>
      <c r="Y395" s="467"/>
      <c r="Z395" s="466"/>
      <c r="AA395" s="466"/>
      <c r="AB395" s="466"/>
      <c r="AC395" s="467"/>
      <c r="AD395" s="467"/>
      <c r="AE395" s="467"/>
      <c r="AF395" s="466"/>
      <c r="AG395" s="467"/>
    </row>
    <row r="396" spans="1:33">
      <c r="A396" s="423" t="s">
        <v>385</v>
      </c>
      <c r="B396" s="347" t="s">
        <v>424</v>
      </c>
      <c r="C396" s="349"/>
      <c r="D396" s="346">
        <v>221607</v>
      </c>
      <c r="E396" s="346">
        <v>13</v>
      </c>
      <c r="F396" s="464">
        <f t="shared" si="37"/>
        <v>0</v>
      </c>
      <c r="G396" s="465">
        <f t="shared" si="38"/>
        <v>0</v>
      </c>
      <c r="H396" s="466"/>
      <c r="I396" s="467"/>
      <c r="J396" s="466"/>
      <c r="K396" s="467"/>
      <c r="L396" s="466"/>
      <c r="M396" s="466"/>
      <c r="N396" s="466"/>
      <c r="O396" s="467"/>
      <c r="P396" s="467"/>
      <c r="Q396" s="467"/>
      <c r="R396" s="466"/>
      <c r="S396" s="467"/>
      <c r="T396" s="464">
        <f t="shared" si="39"/>
        <v>0</v>
      </c>
      <c r="U396" s="465">
        <f t="shared" si="40"/>
        <v>0</v>
      </c>
      <c r="V396" s="466"/>
      <c r="W396" s="467"/>
      <c r="X396" s="466"/>
      <c r="Y396" s="467"/>
      <c r="Z396" s="466"/>
      <c r="AA396" s="466"/>
      <c r="AB396" s="466"/>
      <c r="AC396" s="467"/>
      <c r="AD396" s="467"/>
      <c r="AE396" s="467"/>
      <c r="AF396" s="466"/>
      <c r="AG396" s="467"/>
    </row>
    <row r="397" spans="1:33" s="14" customFormat="1" ht="12.75" customHeight="1">
      <c r="A397" s="423" t="s">
        <v>385</v>
      </c>
      <c r="B397" s="347" t="s">
        <v>425</v>
      </c>
      <c r="C397" s="459" t="s">
        <v>917</v>
      </c>
      <c r="D397" s="346">
        <v>220853</v>
      </c>
      <c r="E397" s="346">
        <v>13</v>
      </c>
      <c r="F397" s="464">
        <f t="shared" si="37"/>
        <v>0</v>
      </c>
      <c r="G397" s="465">
        <f t="shared" si="38"/>
        <v>0</v>
      </c>
      <c r="H397" s="466"/>
      <c r="I397" s="467"/>
      <c r="J397" s="466"/>
      <c r="K397" s="467"/>
      <c r="L397" s="466"/>
      <c r="M397" s="466"/>
      <c r="N397" s="466"/>
      <c r="O397" s="467"/>
      <c r="P397" s="467"/>
      <c r="Q397" s="467"/>
      <c r="R397" s="466"/>
      <c r="S397" s="467"/>
      <c r="T397" s="464">
        <f t="shared" si="39"/>
        <v>0</v>
      </c>
      <c r="U397" s="465">
        <f t="shared" si="40"/>
        <v>0</v>
      </c>
      <c r="V397" s="466"/>
      <c r="W397" s="467"/>
      <c r="X397" s="466"/>
      <c r="Y397" s="467"/>
      <c r="Z397" s="466"/>
      <c r="AA397" s="466"/>
      <c r="AB397" s="466"/>
      <c r="AC397" s="467"/>
      <c r="AD397" s="467"/>
      <c r="AE397" s="467"/>
      <c r="AF397" s="466"/>
      <c r="AG397" s="467"/>
    </row>
    <row r="398" spans="1:33" s="14" customFormat="1" ht="12.75" customHeight="1">
      <c r="A398" s="346" t="s">
        <v>385</v>
      </c>
      <c r="B398" s="347" t="s">
        <v>426</v>
      </c>
      <c r="C398" s="348"/>
      <c r="D398" s="346">
        <v>221050</v>
      </c>
      <c r="E398" s="346">
        <v>13</v>
      </c>
      <c r="F398" s="464">
        <f t="shared" si="37"/>
        <v>0</v>
      </c>
      <c r="G398" s="465">
        <f t="shared" si="38"/>
        <v>0</v>
      </c>
      <c r="H398" s="466"/>
      <c r="I398" s="467"/>
      <c r="J398" s="466"/>
      <c r="K398" s="467"/>
      <c r="L398" s="466"/>
      <c r="M398" s="466"/>
      <c r="N398" s="466"/>
      <c r="O398" s="467"/>
      <c r="P398" s="467"/>
      <c r="Q398" s="467"/>
      <c r="R398" s="466"/>
      <c r="S398" s="467"/>
      <c r="T398" s="464">
        <f t="shared" si="39"/>
        <v>0</v>
      </c>
      <c r="U398" s="465">
        <f t="shared" si="40"/>
        <v>0</v>
      </c>
      <c r="V398" s="466"/>
      <c r="W398" s="467"/>
      <c r="X398" s="466"/>
      <c r="Y398" s="467"/>
      <c r="Z398" s="466"/>
      <c r="AA398" s="466"/>
      <c r="AB398" s="466"/>
      <c r="AC398" s="467"/>
      <c r="AD398" s="467"/>
      <c r="AE398" s="467"/>
      <c r="AF398" s="466"/>
      <c r="AG398" s="467"/>
    </row>
    <row r="399" spans="1:33">
      <c r="A399" s="423" t="s">
        <v>385</v>
      </c>
      <c r="B399" s="347" t="s">
        <v>427</v>
      </c>
      <c r="C399" s="349"/>
      <c r="D399" s="346">
        <v>221102</v>
      </c>
      <c r="E399" s="346">
        <v>13</v>
      </c>
      <c r="F399" s="464">
        <f t="shared" si="37"/>
        <v>0</v>
      </c>
      <c r="G399" s="465">
        <f t="shared" si="38"/>
        <v>0</v>
      </c>
      <c r="H399" s="466"/>
      <c r="I399" s="467"/>
      <c r="J399" s="466"/>
      <c r="K399" s="467"/>
      <c r="L399" s="466"/>
      <c r="M399" s="466"/>
      <c r="N399" s="466"/>
      <c r="O399" s="467"/>
      <c r="P399" s="467"/>
      <c r="Q399" s="467"/>
      <c r="R399" s="466"/>
      <c r="S399" s="467"/>
      <c r="T399" s="464">
        <f t="shared" si="39"/>
        <v>0</v>
      </c>
      <c r="U399" s="465">
        <f t="shared" si="40"/>
        <v>0</v>
      </c>
      <c r="V399" s="466"/>
      <c r="W399" s="467"/>
      <c r="X399" s="466"/>
      <c r="Y399" s="467"/>
      <c r="Z399" s="466"/>
      <c r="AA399" s="466"/>
      <c r="AB399" s="466"/>
      <c r="AC399" s="467"/>
      <c r="AD399" s="467"/>
      <c r="AE399" s="467"/>
      <c r="AF399" s="466"/>
      <c r="AG399" s="467"/>
    </row>
    <row r="400" spans="1:33" s="14" customFormat="1" ht="12.75" customHeight="1">
      <c r="A400" s="423" t="s">
        <v>385</v>
      </c>
      <c r="B400" s="347" t="s">
        <v>428</v>
      </c>
      <c r="C400" s="348"/>
      <c r="D400" s="346">
        <v>248925</v>
      </c>
      <c r="E400" s="346">
        <v>13</v>
      </c>
      <c r="F400" s="464">
        <f t="shared" si="37"/>
        <v>0</v>
      </c>
      <c r="G400" s="465">
        <f t="shared" si="38"/>
        <v>0</v>
      </c>
      <c r="H400" s="466"/>
      <c r="I400" s="467"/>
      <c r="J400" s="466"/>
      <c r="K400" s="467"/>
      <c r="L400" s="466"/>
      <c r="M400" s="466"/>
      <c r="N400" s="466"/>
      <c r="O400" s="467"/>
      <c r="P400" s="467"/>
      <c r="Q400" s="467"/>
      <c r="R400" s="466"/>
      <c r="S400" s="467"/>
      <c r="T400" s="464">
        <f t="shared" si="39"/>
        <v>0</v>
      </c>
      <c r="U400" s="465">
        <f t="shared" si="40"/>
        <v>0</v>
      </c>
      <c r="V400" s="466"/>
      <c r="W400" s="467"/>
      <c r="X400" s="466"/>
      <c r="Y400" s="467"/>
      <c r="Z400" s="466"/>
      <c r="AA400" s="466"/>
      <c r="AB400" s="466"/>
      <c r="AC400" s="467"/>
      <c r="AD400" s="467"/>
      <c r="AE400" s="467"/>
      <c r="AF400" s="466"/>
      <c r="AG400" s="467"/>
    </row>
    <row r="401" spans="1:33" s="14" customFormat="1" ht="12.75" customHeight="1">
      <c r="A401" s="346" t="s">
        <v>385</v>
      </c>
      <c r="B401" s="347" t="s">
        <v>429</v>
      </c>
      <c r="C401" s="348"/>
      <c r="D401" s="346">
        <v>221236</v>
      </c>
      <c r="E401" s="346">
        <v>13</v>
      </c>
      <c r="F401" s="464">
        <f t="shared" ref="F401:F464" si="41">SUM(H401,J401,L401,M401,N401,R401)</f>
        <v>0</v>
      </c>
      <c r="G401" s="465">
        <f t="shared" ref="G401:G464" si="42">SUM(I401,K401,O401,P401,Q401,S401)</f>
        <v>0</v>
      </c>
      <c r="H401" s="466"/>
      <c r="I401" s="467"/>
      <c r="J401" s="466"/>
      <c r="K401" s="467"/>
      <c r="L401" s="466"/>
      <c r="M401" s="466"/>
      <c r="N401" s="466"/>
      <c r="O401" s="467"/>
      <c r="P401" s="467"/>
      <c r="Q401" s="467"/>
      <c r="R401" s="466"/>
      <c r="S401" s="467"/>
      <c r="T401" s="464">
        <f t="shared" ref="T401:T436" si="43">SUM(V401,X401,Z401,AA401,AB401,AF401)</f>
        <v>0</v>
      </c>
      <c r="U401" s="465">
        <f t="shared" ref="U401:U464" si="44">SUM(W401,Y401,AC401,AD401,AE401,AG401)</f>
        <v>0</v>
      </c>
      <c r="V401" s="466"/>
      <c r="W401" s="467"/>
      <c r="X401" s="466"/>
      <c r="Y401" s="467"/>
      <c r="Z401" s="466"/>
      <c r="AA401" s="466"/>
      <c r="AB401" s="466"/>
      <c r="AC401" s="467"/>
      <c r="AD401" s="467"/>
      <c r="AE401" s="467"/>
      <c r="AF401" s="466"/>
      <c r="AG401" s="467"/>
    </row>
    <row r="402" spans="1:33" s="14" customFormat="1" ht="12.75" customHeight="1">
      <c r="A402" s="423" t="s">
        <v>385</v>
      </c>
      <c r="B402" s="347" t="s">
        <v>430</v>
      </c>
      <c r="C402" s="349"/>
      <c r="D402" s="346">
        <v>221582</v>
      </c>
      <c r="E402" s="346">
        <v>13</v>
      </c>
      <c r="F402" s="464">
        <f t="shared" si="41"/>
        <v>0</v>
      </c>
      <c r="G402" s="465">
        <f t="shared" si="42"/>
        <v>0</v>
      </c>
      <c r="H402" s="466"/>
      <c r="I402" s="467"/>
      <c r="J402" s="466"/>
      <c r="K402" s="467"/>
      <c r="L402" s="466"/>
      <c r="M402" s="466"/>
      <c r="N402" s="466"/>
      <c r="O402" s="467"/>
      <c r="P402" s="467"/>
      <c r="Q402" s="467"/>
      <c r="R402" s="466"/>
      <c r="S402" s="467"/>
      <c r="T402" s="464">
        <f t="shared" si="43"/>
        <v>0</v>
      </c>
      <c r="U402" s="465">
        <f t="shared" si="44"/>
        <v>0</v>
      </c>
      <c r="V402" s="466"/>
      <c r="W402" s="467"/>
      <c r="X402" s="466"/>
      <c r="Y402" s="467"/>
      <c r="Z402" s="466"/>
      <c r="AA402" s="466"/>
      <c r="AB402" s="466"/>
      <c r="AC402" s="467"/>
      <c r="AD402" s="467"/>
      <c r="AE402" s="467"/>
      <c r="AF402" s="466"/>
      <c r="AG402" s="467"/>
    </row>
    <row r="403" spans="1:33" s="14" customFormat="1" ht="12.75" customHeight="1">
      <c r="A403" s="423" t="s">
        <v>385</v>
      </c>
      <c r="B403" s="347" t="s">
        <v>431</v>
      </c>
      <c r="C403" s="348"/>
      <c r="D403" s="346">
        <v>221281</v>
      </c>
      <c r="E403" s="346">
        <v>13</v>
      </c>
      <c r="F403" s="464">
        <f t="shared" si="41"/>
        <v>0</v>
      </c>
      <c r="G403" s="465">
        <f t="shared" si="42"/>
        <v>0</v>
      </c>
      <c r="H403" s="466"/>
      <c r="I403" s="467"/>
      <c r="J403" s="466"/>
      <c r="K403" s="467"/>
      <c r="L403" s="466"/>
      <c r="M403" s="466"/>
      <c r="N403" s="466"/>
      <c r="O403" s="467"/>
      <c r="P403" s="467"/>
      <c r="Q403" s="467"/>
      <c r="R403" s="466"/>
      <c r="S403" s="467"/>
      <c r="T403" s="464">
        <f t="shared" si="43"/>
        <v>0</v>
      </c>
      <c r="U403" s="465">
        <f t="shared" si="44"/>
        <v>0</v>
      </c>
      <c r="V403" s="466"/>
      <c r="W403" s="467"/>
      <c r="X403" s="466"/>
      <c r="Y403" s="467"/>
      <c r="Z403" s="466"/>
      <c r="AA403" s="466"/>
      <c r="AB403" s="466"/>
      <c r="AC403" s="467"/>
      <c r="AD403" s="467"/>
      <c r="AE403" s="467"/>
      <c r="AF403" s="466"/>
      <c r="AG403" s="467"/>
    </row>
    <row r="404" spans="1:33" s="14" customFormat="1" ht="12.75" customHeight="1">
      <c r="A404" s="346" t="s">
        <v>385</v>
      </c>
      <c r="B404" s="347" t="s">
        <v>432</v>
      </c>
      <c r="C404" s="348"/>
      <c r="D404" s="346">
        <v>221333</v>
      </c>
      <c r="E404" s="346">
        <v>13</v>
      </c>
      <c r="F404" s="464">
        <f t="shared" si="41"/>
        <v>0</v>
      </c>
      <c r="G404" s="465">
        <f t="shared" si="42"/>
        <v>0</v>
      </c>
      <c r="H404" s="466"/>
      <c r="I404" s="467"/>
      <c r="J404" s="466"/>
      <c r="K404" s="467"/>
      <c r="L404" s="466"/>
      <c r="M404" s="466"/>
      <c r="N404" s="466"/>
      <c r="O404" s="467"/>
      <c r="P404" s="467"/>
      <c r="Q404" s="467"/>
      <c r="R404" s="466"/>
      <c r="S404" s="467"/>
      <c r="T404" s="464">
        <f t="shared" si="43"/>
        <v>0</v>
      </c>
      <c r="U404" s="465">
        <f t="shared" si="44"/>
        <v>0</v>
      </c>
      <c r="V404" s="466"/>
      <c r="W404" s="467"/>
      <c r="X404" s="466"/>
      <c r="Y404" s="467"/>
      <c r="Z404" s="466"/>
      <c r="AA404" s="466"/>
      <c r="AB404" s="466"/>
      <c r="AC404" s="467"/>
      <c r="AD404" s="467"/>
      <c r="AE404" s="467"/>
      <c r="AF404" s="466"/>
      <c r="AG404" s="467"/>
    </row>
    <row r="405" spans="1:33" s="14" customFormat="1" ht="12.75" customHeight="1">
      <c r="A405" s="423" t="s">
        <v>385</v>
      </c>
      <c r="B405" s="347" t="s">
        <v>433</v>
      </c>
      <c r="C405" s="349"/>
      <c r="D405" s="346">
        <v>221388</v>
      </c>
      <c r="E405" s="346">
        <v>13</v>
      </c>
      <c r="F405" s="464">
        <f t="shared" si="41"/>
        <v>0</v>
      </c>
      <c r="G405" s="465">
        <f t="shared" si="42"/>
        <v>0</v>
      </c>
      <c r="H405" s="466"/>
      <c r="I405" s="467"/>
      <c r="J405" s="466"/>
      <c r="K405" s="467"/>
      <c r="L405" s="466"/>
      <c r="M405" s="466"/>
      <c r="N405" s="466"/>
      <c r="O405" s="467"/>
      <c r="P405" s="467"/>
      <c r="Q405" s="467"/>
      <c r="R405" s="466"/>
      <c r="S405" s="467"/>
      <c r="T405" s="464">
        <f t="shared" si="43"/>
        <v>0</v>
      </c>
      <c r="U405" s="465">
        <f t="shared" si="44"/>
        <v>0</v>
      </c>
      <c r="V405" s="466"/>
      <c r="W405" s="467"/>
      <c r="X405" s="466"/>
      <c r="Y405" s="467"/>
      <c r="Z405" s="466"/>
      <c r="AA405" s="466"/>
      <c r="AB405" s="466"/>
      <c r="AC405" s="467"/>
      <c r="AD405" s="467"/>
      <c r="AE405" s="467"/>
      <c r="AF405" s="466"/>
      <c r="AG405" s="467"/>
    </row>
    <row r="406" spans="1:33" s="14" customFormat="1" ht="12.75" customHeight="1">
      <c r="A406" s="423" t="s">
        <v>385</v>
      </c>
      <c r="B406" s="347" t="s">
        <v>434</v>
      </c>
      <c r="C406" s="348"/>
      <c r="D406" s="346">
        <v>221494</v>
      </c>
      <c r="E406" s="346">
        <v>13</v>
      </c>
      <c r="F406" s="464">
        <f t="shared" si="41"/>
        <v>0</v>
      </c>
      <c r="G406" s="465">
        <f t="shared" si="42"/>
        <v>0</v>
      </c>
      <c r="H406" s="466"/>
      <c r="I406" s="467"/>
      <c r="J406" s="466"/>
      <c r="K406" s="467"/>
      <c r="L406" s="466"/>
      <c r="M406" s="466"/>
      <c r="N406" s="466"/>
      <c r="O406" s="467"/>
      <c r="P406" s="467"/>
      <c r="Q406" s="467"/>
      <c r="R406" s="466"/>
      <c r="S406" s="467"/>
      <c r="T406" s="464">
        <f t="shared" si="43"/>
        <v>0</v>
      </c>
      <c r="U406" s="465">
        <f t="shared" si="44"/>
        <v>0</v>
      </c>
      <c r="V406" s="466"/>
      <c r="W406" s="467"/>
      <c r="X406" s="466"/>
      <c r="Y406" s="467"/>
      <c r="Z406" s="466"/>
      <c r="AA406" s="466"/>
      <c r="AB406" s="466"/>
      <c r="AC406" s="467"/>
      <c r="AD406" s="467"/>
      <c r="AE406" s="467"/>
      <c r="AF406" s="466"/>
      <c r="AG406" s="467"/>
    </row>
    <row r="407" spans="1:33" s="14" customFormat="1" ht="12.75" customHeight="1">
      <c r="A407" s="346" t="s">
        <v>385</v>
      </c>
      <c r="B407" s="347" t="s">
        <v>435</v>
      </c>
      <c r="C407" s="348"/>
      <c r="D407" s="346">
        <v>221634</v>
      </c>
      <c r="E407" s="346">
        <v>13</v>
      </c>
      <c r="F407" s="464">
        <f t="shared" si="41"/>
        <v>0</v>
      </c>
      <c r="G407" s="465">
        <f t="shared" si="42"/>
        <v>0</v>
      </c>
      <c r="H407" s="466"/>
      <c r="I407" s="467"/>
      <c r="J407" s="466"/>
      <c r="K407" s="467"/>
      <c r="L407" s="466"/>
      <c r="M407" s="466"/>
      <c r="N407" s="466"/>
      <c r="O407" s="467"/>
      <c r="P407" s="467"/>
      <c r="Q407" s="467"/>
      <c r="R407" s="466"/>
      <c r="S407" s="467"/>
      <c r="T407" s="464">
        <f t="shared" si="43"/>
        <v>0</v>
      </c>
      <c r="U407" s="465">
        <f t="shared" si="44"/>
        <v>0</v>
      </c>
      <c r="V407" s="466"/>
      <c r="W407" s="467"/>
      <c r="X407" s="466"/>
      <c r="Y407" s="467"/>
      <c r="Z407" s="466"/>
      <c r="AA407" s="466"/>
      <c r="AB407" s="466"/>
      <c r="AC407" s="467"/>
      <c r="AD407" s="467"/>
      <c r="AE407" s="467"/>
      <c r="AF407" s="466"/>
      <c r="AG407" s="467"/>
    </row>
    <row r="408" spans="1:33" customFormat="1" ht="13.5" customHeight="1">
      <c r="A408" s="375" t="s">
        <v>436</v>
      </c>
      <c r="B408" s="373" t="s">
        <v>768</v>
      </c>
      <c r="C408" s="374"/>
      <c r="D408" s="375">
        <v>228723</v>
      </c>
      <c r="E408" s="375">
        <v>1</v>
      </c>
      <c r="F408" s="464">
        <f t="shared" si="41"/>
        <v>0</v>
      </c>
      <c r="G408" s="465">
        <f t="shared" si="42"/>
        <v>1412275</v>
      </c>
      <c r="H408" s="466"/>
      <c r="I408" s="482">
        <v>823823</v>
      </c>
      <c r="J408" s="466"/>
      <c r="K408" s="482">
        <v>12230</v>
      </c>
      <c r="L408" s="466"/>
      <c r="M408" s="466"/>
      <c r="N408" s="466"/>
      <c r="O408" s="482">
        <v>570458</v>
      </c>
      <c r="P408" s="467">
        <v>0</v>
      </c>
      <c r="Q408" s="482">
        <v>5764</v>
      </c>
      <c r="R408" s="466"/>
      <c r="S408" s="467"/>
      <c r="T408" s="464">
        <f t="shared" si="43"/>
        <v>0</v>
      </c>
      <c r="U408" s="465">
        <f t="shared" si="44"/>
        <v>230260</v>
      </c>
      <c r="V408" s="466"/>
      <c r="W408" s="482">
        <v>152391</v>
      </c>
      <c r="X408" s="466"/>
      <c r="Y408" s="482">
        <v>5100</v>
      </c>
      <c r="Z408" s="466"/>
      <c r="AA408" s="466"/>
      <c r="AB408" s="466"/>
      <c r="AC408" s="482">
        <v>69891</v>
      </c>
      <c r="AD408" s="482">
        <v>312</v>
      </c>
      <c r="AE408" s="482">
        <v>2566</v>
      </c>
      <c r="AF408" s="466"/>
      <c r="AG408" s="467"/>
    </row>
    <row r="409" spans="1:33" customFormat="1" ht="12.75" customHeight="1">
      <c r="A409" s="375" t="s">
        <v>436</v>
      </c>
      <c r="B409" s="373" t="s">
        <v>769</v>
      </c>
      <c r="C409" s="374"/>
      <c r="D409" s="375">
        <v>229115</v>
      </c>
      <c r="E409" s="375">
        <v>1</v>
      </c>
      <c r="F409" s="464">
        <f t="shared" si="41"/>
        <v>0</v>
      </c>
      <c r="G409" s="465">
        <f t="shared" si="42"/>
        <v>888800</v>
      </c>
      <c r="H409" s="466"/>
      <c r="I409" s="482">
        <v>351427</v>
      </c>
      <c r="J409" s="466"/>
      <c r="K409" s="482">
        <v>10335</v>
      </c>
      <c r="L409" s="466"/>
      <c r="M409" s="466"/>
      <c r="N409" s="466"/>
      <c r="O409" s="482">
        <v>526744</v>
      </c>
      <c r="P409" s="482">
        <v>294</v>
      </c>
      <c r="Q409" s="467">
        <v>0</v>
      </c>
      <c r="R409" s="466"/>
      <c r="S409" s="467"/>
      <c r="T409" s="464">
        <f t="shared" si="43"/>
        <v>0</v>
      </c>
      <c r="U409" s="465">
        <f t="shared" si="44"/>
        <v>129541</v>
      </c>
      <c r="V409" s="466"/>
      <c r="W409" s="482">
        <v>47673</v>
      </c>
      <c r="X409" s="466"/>
      <c r="Y409" s="482">
        <v>1698</v>
      </c>
      <c r="Z409" s="466"/>
      <c r="AA409" s="466"/>
      <c r="AB409" s="466"/>
      <c r="AC409" s="482">
        <v>80170</v>
      </c>
      <c r="AD409" s="467">
        <v>0</v>
      </c>
      <c r="AE409" s="467">
        <v>0</v>
      </c>
      <c r="AF409" s="466"/>
      <c r="AG409" s="467"/>
    </row>
    <row r="410" spans="1:33" customFormat="1" ht="12.75" customHeight="1">
      <c r="A410" s="375" t="s">
        <v>436</v>
      </c>
      <c r="B410" s="373" t="s">
        <v>770</v>
      </c>
      <c r="C410" s="374"/>
      <c r="D410" s="375">
        <v>225511</v>
      </c>
      <c r="E410" s="375">
        <v>1</v>
      </c>
      <c r="F410" s="464">
        <f t="shared" si="41"/>
        <v>0</v>
      </c>
      <c r="G410" s="465">
        <f t="shared" si="42"/>
        <v>1001990</v>
      </c>
      <c r="H410" s="466"/>
      <c r="I410" s="482">
        <v>311905</v>
      </c>
      <c r="J410" s="466"/>
      <c r="K410" s="482">
        <v>6903</v>
      </c>
      <c r="L410" s="466"/>
      <c r="M410" s="466"/>
      <c r="N410" s="466"/>
      <c r="O410" s="482">
        <v>682997</v>
      </c>
      <c r="P410" s="482">
        <v>185</v>
      </c>
      <c r="Q410" s="467">
        <v>0</v>
      </c>
      <c r="R410" s="466"/>
      <c r="S410" s="467"/>
      <c r="T410" s="464">
        <f t="shared" si="43"/>
        <v>0</v>
      </c>
      <c r="U410" s="465">
        <f t="shared" si="44"/>
        <v>173410</v>
      </c>
      <c r="V410" s="466"/>
      <c r="W410" s="482">
        <v>91616</v>
      </c>
      <c r="X410" s="466"/>
      <c r="Y410" s="482">
        <v>642</v>
      </c>
      <c r="Z410" s="466"/>
      <c r="AA410" s="466"/>
      <c r="AB410" s="466"/>
      <c r="AC410" s="482">
        <v>81125</v>
      </c>
      <c r="AD410" s="482">
        <v>27</v>
      </c>
      <c r="AE410" s="467">
        <v>0</v>
      </c>
      <c r="AF410" s="466"/>
      <c r="AG410" s="467"/>
    </row>
    <row r="411" spans="1:33" customFormat="1" ht="12.75" customHeight="1">
      <c r="A411" s="375" t="s">
        <v>436</v>
      </c>
      <c r="B411" s="373" t="s">
        <v>771</v>
      </c>
      <c r="C411" s="374"/>
      <c r="D411" s="375">
        <v>227216</v>
      </c>
      <c r="E411" s="375">
        <v>1</v>
      </c>
      <c r="F411" s="464">
        <f t="shared" si="41"/>
        <v>0</v>
      </c>
      <c r="G411" s="465">
        <f t="shared" si="42"/>
        <v>863539</v>
      </c>
      <c r="H411" s="466"/>
      <c r="I411" s="482">
        <v>338553</v>
      </c>
      <c r="J411" s="466"/>
      <c r="K411" s="482">
        <v>8181</v>
      </c>
      <c r="L411" s="466"/>
      <c r="M411" s="466"/>
      <c r="N411" s="466"/>
      <c r="O411" s="482">
        <v>300745</v>
      </c>
      <c r="P411" s="482">
        <v>187022</v>
      </c>
      <c r="Q411" s="482">
        <v>29038</v>
      </c>
      <c r="R411" s="466"/>
      <c r="S411" s="467"/>
      <c r="T411" s="464">
        <f t="shared" si="43"/>
        <v>0</v>
      </c>
      <c r="U411" s="465">
        <f t="shared" si="44"/>
        <v>123365</v>
      </c>
      <c r="V411" s="466"/>
      <c r="W411" s="482">
        <v>45380</v>
      </c>
      <c r="X411" s="466"/>
      <c r="Y411" s="482">
        <v>1763</v>
      </c>
      <c r="Z411" s="466"/>
      <c r="AA411" s="466"/>
      <c r="AB411" s="466"/>
      <c r="AC411" s="482">
        <v>51174</v>
      </c>
      <c r="AD411" s="482">
        <v>21454</v>
      </c>
      <c r="AE411" s="482">
        <v>3594</v>
      </c>
      <c r="AF411" s="466"/>
      <c r="AG411" s="467"/>
    </row>
    <row r="412" spans="1:33" customFormat="1" ht="12.75" customHeight="1">
      <c r="A412" s="375" t="s">
        <v>436</v>
      </c>
      <c r="B412" s="373" t="s">
        <v>772</v>
      </c>
      <c r="C412" s="374"/>
      <c r="D412" s="375">
        <v>228769</v>
      </c>
      <c r="E412" s="375">
        <v>1</v>
      </c>
      <c r="F412" s="464">
        <f t="shared" si="41"/>
        <v>0</v>
      </c>
      <c r="G412" s="465">
        <f t="shared" si="42"/>
        <v>779723</v>
      </c>
      <c r="H412" s="466"/>
      <c r="I412" s="482">
        <v>529207</v>
      </c>
      <c r="J412" s="466"/>
      <c r="K412" s="482">
        <v>2931</v>
      </c>
      <c r="L412" s="466"/>
      <c r="M412" s="466"/>
      <c r="N412" s="466"/>
      <c r="O412" s="482">
        <v>247576</v>
      </c>
      <c r="P412" s="482">
        <v>9</v>
      </c>
      <c r="Q412" s="467">
        <v>0</v>
      </c>
      <c r="R412" s="466"/>
      <c r="S412" s="467"/>
      <c r="T412" s="464">
        <f t="shared" si="43"/>
        <v>0</v>
      </c>
      <c r="U412" s="465">
        <f t="shared" si="44"/>
        <v>212826</v>
      </c>
      <c r="V412" s="466"/>
      <c r="W412" s="482">
        <v>74600</v>
      </c>
      <c r="X412" s="466"/>
      <c r="Y412" s="482">
        <v>3678</v>
      </c>
      <c r="Z412" s="466"/>
      <c r="AA412" s="466"/>
      <c r="AB412" s="466"/>
      <c r="AC412" s="482">
        <v>134506</v>
      </c>
      <c r="AD412" s="482">
        <v>12</v>
      </c>
      <c r="AE412" s="482">
        <v>30</v>
      </c>
      <c r="AF412" s="466"/>
      <c r="AG412" s="467"/>
    </row>
    <row r="413" spans="1:33" customFormat="1" ht="12.75" customHeight="1">
      <c r="A413" s="375" t="s">
        <v>436</v>
      </c>
      <c r="B413" s="373" t="s">
        <v>773</v>
      </c>
      <c r="C413" s="374"/>
      <c r="D413" s="375">
        <v>228778</v>
      </c>
      <c r="E413" s="375">
        <v>1</v>
      </c>
      <c r="F413" s="464">
        <f t="shared" si="41"/>
        <v>0</v>
      </c>
      <c r="G413" s="465">
        <f t="shared" si="42"/>
        <v>1120460</v>
      </c>
      <c r="H413" s="466"/>
      <c r="I413" s="482">
        <v>464433</v>
      </c>
      <c r="J413" s="466"/>
      <c r="K413" s="482">
        <v>3935</v>
      </c>
      <c r="L413" s="466"/>
      <c r="M413" s="466"/>
      <c r="N413" s="466"/>
      <c r="O413" s="482">
        <v>633484</v>
      </c>
      <c r="P413" s="482">
        <v>18557</v>
      </c>
      <c r="Q413" s="482">
        <v>51</v>
      </c>
      <c r="R413" s="466"/>
      <c r="S413" s="467"/>
      <c r="T413" s="464">
        <f t="shared" si="43"/>
        <v>0</v>
      </c>
      <c r="U413" s="465">
        <f t="shared" si="44"/>
        <v>233178</v>
      </c>
      <c r="V413" s="466"/>
      <c r="W413" s="482">
        <v>133947</v>
      </c>
      <c r="X413" s="466"/>
      <c r="Y413" s="482">
        <v>292</v>
      </c>
      <c r="Z413" s="466"/>
      <c r="AA413" s="466"/>
      <c r="AB413" s="466"/>
      <c r="AC413" s="482">
        <v>95864</v>
      </c>
      <c r="AD413" s="482">
        <v>2403</v>
      </c>
      <c r="AE413" s="482">
        <v>672</v>
      </c>
      <c r="AF413" s="466"/>
      <c r="AG413" s="467"/>
    </row>
    <row r="414" spans="1:33" customFormat="1" ht="12.75" customHeight="1">
      <c r="A414" s="375" t="s">
        <v>436</v>
      </c>
      <c r="B414" s="373" t="s">
        <v>774</v>
      </c>
      <c r="C414" s="374"/>
      <c r="D414" s="375">
        <v>228787</v>
      </c>
      <c r="E414" s="375">
        <v>1</v>
      </c>
      <c r="F414" s="464">
        <f t="shared" si="41"/>
        <v>0</v>
      </c>
      <c r="G414" s="465">
        <f t="shared" si="42"/>
        <v>572876</v>
      </c>
      <c r="H414" s="466"/>
      <c r="I414" s="482">
        <v>292499</v>
      </c>
      <c r="J414" s="466"/>
      <c r="K414" s="482">
        <v>2296</v>
      </c>
      <c r="L414" s="466"/>
      <c r="M414" s="466"/>
      <c r="N414" s="466"/>
      <c r="O414" s="482">
        <v>278081</v>
      </c>
      <c r="P414" s="467">
        <v>0</v>
      </c>
      <c r="Q414" s="467">
        <v>0</v>
      </c>
      <c r="R414" s="466"/>
      <c r="S414" s="467"/>
      <c r="T414" s="464">
        <f t="shared" si="43"/>
        <v>0</v>
      </c>
      <c r="U414" s="465">
        <f t="shared" si="44"/>
        <v>135638</v>
      </c>
      <c r="V414" s="466"/>
      <c r="W414" s="482">
        <v>83071</v>
      </c>
      <c r="X414" s="466"/>
      <c r="Y414" s="482">
        <v>448</v>
      </c>
      <c r="Z414" s="466"/>
      <c r="AA414" s="466"/>
      <c r="AB414" s="466"/>
      <c r="AC414" s="482">
        <v>52119</v>
      </c>
      <c r="AD414" s="467">
        <v>0</v>
      </c>
      <c r="AE414" s="467">
        <v>0</v>
      </c>
      <c r="AF414" s="466"/>
      <c r="AG414" s="467"/>
    </row>
    <row r="415" spans="1:33" customFormat="1" ht="15" customHeight="1">
      <c r="A415" s="375" t="s">
        <v>436</v>
      </c>
      <c r="B415" s="373" t="s">
        <v>775</v>
      </c>
      <c r="C415" s="376"/>
      <c r="D415" s="375">
        <v>229027</v>
      </c>
      <c r="E415" s="375">
        <v>1</v>
      </c>
      <c r="F415" s="464">
        <f t="shared" si="41"/>
        <v>0</v>
      </c>
      <c r="G415" s="465">
        <f t="shared" si="42"/>
        <v>742160</v>
      </c>
      <c r="H415" s="466"/>
      <c r="I415" s="482">
        <v>243315</v>
      </c>
      <c r="J415" s="466"/>
      <c r="K415" s="482">
        <v>1095</v>
      </c>
      <c r="L415" s="466"/>
      <c r="M415" s="466"/>
      <c r="N415" s="466"/>
      <c r="O415" s="482">
        <v>497315</v>
      </c>
      <c r="P415" s="482">
        <v>147</v>
      </c>
      <c r="Q415" s="482">
        <v>288</v>
      </c>
      <c r="R415" s="466"/>
      <c r="S415" s="467"/>
      <c r="T415" s="464">
        <f t="shared" si="43"/>
        <v>0</v>
      </c>
      <c r="U415" s="465">
        <f t="shared" si="44"/>
        <v>75558</v>
      </c>
      <c r="V415" s="466"/>
      <c r="W415" s="482">
        <v>31449</v>
      </c>
      <c r="X415" s="466"/>
      <c r="Y415" s="482">
        <v>702</v>
      </c>
      <c r="Z415" s="466"/>
      <c r="AA415" s="466"/>
      <c r="AB415" s="466"/>
      <c r="AC415" s="482">
        <v>43407</v>
      </c>
      <c r="AD415" s="467">
        <v>0</v>
      </c>
      <c r="AE415" s="467">
        <v>0</v>
      </c>
      <c r="AF415" s="466"/>
      <c r="AG415" s="467"/>
    </row>
    <row r="416" spans="1:33" customFormat="1" ht="15" customHeight="1">
      <c r="A416" s="375" t="s">
        <v>436</v>
      </c>
      <c r="B416" s="388" t="s">
        <v>776</v>
      </c>
      <c r="C416" s="376"/>
      <c r="D416" s="375">
        <v>228459</v>
      </c>
      <c r="E416" s="375">
        <v>2</v>
      </c>
      <c r="F416" s="464">
        <f t="shared" si="41"/>
        <v>0</v>
      </c>
      <c r="G416" s="465">
        <f t="shared" si="42"/>
        <v>860446</v>
      </c>
      <c r="H416" s="466"/>
      <c r="I416" s="482">
        <v>469716</v>
      </c>
      <c r="J416" s="466"/>
      <c r="K416" s="482">
        <v>11396</v>
      </c>
      <c r="L416" s="466"/>
      <c r="M416" s="466"/>
      <c r="N416" s="466"/>
      <c r="O416" s="482">
        <v>378945</v>
      </c>
      <c r="P416" s="482">
        <v>255</v>
      </c>
      <c r="Q416" s="482">
        <v>134</v>
      </c>
      <c r="R416" s="466"/>
      <c r="S416" s="467"/>
      <c r="T416" s="464">
        <f t="shared" si="43"/>
        <v>0</v>
      </c>
      <c r="U416" s="465">
        <f t="shared" si="44"/>
        <v>72696</v>
      </c>
      <c r="V416" s="466"/>
      <c r="W416" s="482">
        <v>29815</v>
      </c>
      <c r="X416" s="466"/>
      <c r="Y416" s="482">
        <v>7068</v>
      </c>
      <c r="Z416" s="466"/>
      <c r="AA416" s="466"/>
      <c r="AB416" s="466"/>
      <c r="AC416" s="482">
        <v>34916</v>
      </c>
      <c r="AD416" s="482">
        <v>477</v>
      </c>
      <c r="AE416" s="482">
        <v>420</v>
      </c>
      <c r="AF416" s="466"/>
      <c r="AG416" s="467"/>
    </row>
    <row r="417" spans="1:33" customFormat="1" ht="15" customHeight="1">
      <c r="A417" s="375" t="s">
        <v>436</v>
      </c>
      <c r="B417" s="373" t="s">
        <v>777</v>
      </c>
      <c r="C417" s="461" t="s">
        <v>918</v>
      </c>
      <c r="D417" s="375">
        <v>229179</v>
      </c>
      <c r="E417" s="375">
        <v>2</v>
      </c>
      <c r="F417" s="464">
        <f t="shared" si="41"/>
        <v>0</v>
      </c>
      <c r="G417" s="465">
        <f t="shared" si="42"/>
        <v>251440</v>
      </c>
      <c r="H417" s="466"/>
      <c r="I417" s="482">
        <v>103049</v>
      </c>
      <c r="J417" s="466"/>
      <c r="K417" s="482">
        <v>11730</v>
      </c>
      <c r="L417" s="466"/>
      <c r="M417" s="466"/>
      <c r="N417" s="466"/>
      <c r="O417" s="482">
        <v>136661</v>
      </c>
      <c r="P417" s="467">
        <v>0</v>
      </c>
      <c r="Q417" s="467">
        <v>0</v>
      </c>
      <c r="R417" s="466"/>
      <c r="S417" s="467"/>
      <c r="T417" s="464">
        <f t="shared" si="43"/>
        <v>0</v>
      </c>
      <c r="U417" s="465">
        <f t="shared" si="44"/>
        <v>101598</v>
      </c>
      <c r="V417" s="466"/>
      <c r="W417" s="482">
        <v>30722</v>
      </c>
      <c r="X417" s="466"/>
      <c r="Y417" s="482">
        <v>309</v>
      </c>
      <c r="Z417" s="466"/>
      <c r="AA417" s="466"/>
      <c r="AB417" s="466"/>
      <c r="AC417" s="482">
        <v>70431</v>
      </c>
      <c r="AD417" s="482">
        <v>136</v>
      </c>
      <c r="AE417" s="467">
        <v>0</v>
      </c>
      <c r="AF417" s="466"/>
      <c r="AG417" s="467"/>
    </row>
    <row r="418" spans="1:33" customFormat="1" ht="15" customHeight="1">
      <c r="A418" s="375" t="s">
        <v>436</v>
      </c>
      <c r="B418" s="373" t="s">
        <v>778</v>
      </c>
      <c r="C418" s="462" t="s">
        <v>919</v>
      </c>
      <c r="D418" s="375">
        <v>228796</v>
      </c>
      <c r="E418" s="375">
        <v>2</v>
      </c>
      <c r="F418" s="464">
        <f t="shared" si="41"/>
        <v>0</v>
      </c>
      <c r="G418" s="465">
        <f t="shared" si="42"/>
        <v>519352</v>
      </c>
      <c r="H418" s="466"/>
      <c r="I418" s="482">
        <v>182198</v>
      </c>
      <c r="J418" s="466"/>
      <c r="K418" s="482">
        <v>685</v>
      </c>
      <c r="L418" s="466"/>
      <c r="M418" s="466"/>
      <c r="N418" s="466"/>
      <c r="O418" s="482">
        <v>336469</v>
      </c>
      <c r="P418" s="467">
        <v>0</v>
      </c>
      <c r="Q418" s="467">
        <v>0</v>
      </c>
      <c r="R418" s="466"/>
      <c r="S418" s="467"/>
      <c r="T418" s="464">
        <f t="shared" si="43"/>
        <v>0</v>
      </c>
      <c r="U418" s="465">
        <f t="shared" si="44"/>
        <v>65249</v>
      </c>
      <c r="V418" s="466"/>
      <c r="W418" s="482">
        <v>26015</v>
      </c>
      <c r="X418" s="466"/>
      <c r="Y418" s="482">
        <v>219</v>
      </c>
      <c r="Z418" s="466"/>
      <c r="AA418" s="466"/>
      <c r="AB418" s="466"/>
      <c r="AC418" s="482">
        <v>39015</v>
      </c>
      <c r="AD418" s="467">
        <v>0</v>
      </c>
      <c r="AE418" s="467">
        <v>0</v>
      </c>
      <c r="AF418" s="466"/>
      <c r="AG418" s="467"/>
    </row>
    <row r="419" spans="1:33" customFormat="1" ht="15" customHeight="1">
      <c r="A419" s="375" t="s">
        <v>436</v>
      </c>
      <c r="B419" s="373" t="s">
        <v>779</v>
      </c>
      <c r="C419" s="389"/>
      <c r="D419" s="375">
        <v>222831</v>
      </c>
      <c r="E419" s="375">
        <v>3</v>
      </c>
      <c r="F419" s="464">
        <f t="shared" si="41"/>
        <v>0</v>
      </c>
      <c r="G419" s="465">
        <f t="shared" si="42"/>
        <v>193011</v>
      </c>
      <c r="H419" s="466"/>
      <c r="I419" s="482">
        <v>132800</v>
      </c>
      <c r="J419" s="466"/>
      <c r="K419" s="467">
        <v>0</v>
      </c>
      <c r="L419" s="466"/>
      <c r="M419" s="466"/>
      <c r="N419" s="466"/>
      <c r="O419" s="482">
        <v>60211</v>
      </c>
      <c r="P419" s="467">
        <v>0</v>
      </c>
      <c r="Q419" s="467">
        <v>0</v>
      </c>
      <c r="R419" s="466"/>
      <c r="S419" s="467"/>
      <c r="T419" s="464">
        <f t="shared" si="43"/>
        <v>0</v>
      </c>
      <c r="U419" s="465">
        <f t="shared" si="44"/>
        <v>27476</v>
      </c>
      <c r="V419" s="466"/>
      <c r="W419" s="482">
        <v>6188</v>
      </c>
      <c r="X419" s="466"/>
      <c r="Y419" s="467">
        <v>0</v>
      </c>
      <c r="Z419" s="466"/>
      <c r="AA419" s="466"/>
      <c r="AB419" s="466"/>
      <c r="AC419" s="482">
        <v>21288</v>
      </c>
      <c r="AD419" s="467">
        <v>0</v>
      </c>
      <c r="AE419" s="467">
        <v>0</v>
      </c>
      <c r="AF419" s="466"/>
      <c r="AG419" s="467"/>
    </row>
    <row r="420" spans="1:33" customFormat="1" ht="15" customHeight="1">
      <c r="A420" s="375" t="s">
        <v>436</v>
      </c>
      <c r="B420" s="373" t="s">
        <v>780</v>
      </c>
      <c r="C420" s="389"/>
      <c r="D420" s="375">
        <v>226091</v>
      </c>
      <c r="E420" s="375">
        <v>3</v>
      </c>
      <c r="F420" s="464">
        <f t="shared" si="41"/>
        <v>0</v>
      </c>
      <c r="G420" s="465">
        <f t="shared" si="42"/>
        <v>215931</v>
      </c>
      <c r="H420" s="466"/>
      <c r="I420" s="482">
        <v>79965</v>
      </c>
      <c r="J420" s="466"/>
      <c r="K420" s="467">
        <v>0</v>
      </c>
      <c r="L420" s="466"/>
      <c r="M420" s="466"/>
      <c r="N420" s="466"/>
      <c r="O420" s="482">
        <v>135966</v>
      </c>
      <c r="P420" s="467">
        <v>0</v>
      </c>
      <c r="Q420" s="467">
        <v>0</v>
      </c>
      <c r="R420" s="466"/>
      <c r="S420" s="467"/>
      <c r="T420" s="464">
        <f t="shared" si="43"/>
        <v>0</v>
      </c>
      <c r="U420" s="465">
        <f t="shared" si="44"/>
        <v>141145</v>
      </c>
      <c r="V420" s="466"/>
      <c r="W420" s="482">
        <v>8003</v>
      </c>
      <c r="X420" s="466"/>
      <c r="Y420" s="482">
        <v>54</v>
      </c>
      <c r="Z420" s="466"/>
      <c r="AA420" s="466"/>
      <c r="AB420" s="466"/>
      <c r="AC420" s="482">
        <v>133088</v>
      </c>
      <c r="AD420" s="467">
        <v>0</v>
      </c>
      <c r="AE420" s="467">
        <v>0</v>
      </c>
      <c r="AF420" s="466"/>
      <c r="AG420" s="467"/>
    </row>
    <row r="421" spans="1:33" customFormat="1" ht="15" customHeight="1">
      <c r="A421" s="375" t="s">
        <v>436</v>
      </c>
      <c r="B421" s="373" t="s">
        <v>781</v>
      </c>
      <c r="C421" s="389"/>
      <c r="D421" s="375">
        <v>226833</v>
      </c>
      <c r="E421" s="375">
        <v>3</v>
      </c>
      <c r="F421" s="464">
        <f t="shared" si="41"/>
        <v>0</v>
      </c>
      <c r="G421" s="465">
        <f t="shared" si="42"/>
        <v>121707</v>
      </c>
      <c r="H421" s="466"/>
      <c r="I421" s="482">
        <v>81492</v>
      </c>
      <c r="J421" s="466"/>
      <c r="K421" s="482">
        <v>781</v>
      </c>
      <c r="L421" s="466"/>
      <c r="M421" s="466"/>
      <c r="N421" s="466"/>
      <c r="O421" s="482">
        <v>39389</v>
      </c>
      <c r="P421" s="482">
        <v>45</v>
      </c>
      <c r="Q421" s="467">
        <v>0</v>
      </c>
      <c r="R421" s="466"/>
      <c r="S421" s="467"/>
      <c r="T421" s="464">
        <f t="shared" si="43"/>
        <v>0</v>
      </c>
      <c r="U421" s="465">
        <f t="shared" si="44"/>
        <v>9659</v>
      </c>
      <c r="V421" s="466"/>
      <c r="W421" s="482">
        <v>2269</v>
      </c>
      <c r="X421" s="466"/>
      <c r="Y421" s="467">
        <v>0</v>
      </c>
      <c r="Z421" s="466"/>
      <c r="AA421" s="466"/>
      <c r="AB421" s="466"/>
      <c r="AC421" s="482">
        <v>7390</v>
      </c>
      <c r="AD421" s="467">
        <v>0</v>
      </c>
      <c r="AE421" s="467">
        <v>0</v>
      </c>
      <c r="AF421" s="466"/>
      <c r="AG421" s="467"/>
    </row>
    <row r="422" spans="1:33" customFormat="1" ht="15" customHeight="1">
      <c r="A422" s="375" t="s">
        <v>436</v>
      </c>
      <c r="B422" s="373" t="s">
        <v>782</v>
      </c>
      <c r="C422" s="389"/>
      <c r="D422" s="375">
        <v>227526</v>
      </c>
      <c r="E422" s="375">
        <v>3</v>
      </c>
      <c r="F422" s="464">
        <f t="shared" si="41"/>
        <v>0</v>
      </c>
      <c r="G422" s="465">
        <f t="shared" si="42"/>
        <v>225954</v>
      </c>
      <c r="H422" s="466"/>
      <c r="I422" s="482">
        <v>94845</v>
      </c>
      <c r="J422" s="466"/>
      <c r="K422" s="482">
        <v>6124</v>
      </c>
      <c r="L422" s="466"/>
      <c r="M422" s="466"/>
      <c r="N422" s="466"/>
      <c r="O422" s="482">
        <v>124985</v>
      </c>
      <c r="P422" s="467">
        <v>0</v>
      </c>
      <c r="Q422" s="467">
        <v>0</v>
      </c>
      <c r="R422" s="466"/>
      <c r="S422" s="467"/>
      <c r="T422" s="464">
        <f t="shared" si="43"/>
        <v>0</v>
      </c>
      <c r="U422" s="465">
        <f t="shared" si="44"/>
        <v>12904</v>
      </c>
      <c r="V422" s="466"/>
      <c r="W422" s="482">
        <v>3150</v>
      </c>
      <c r="X422" s="466"/>
      <c r="Y422" s="482">
        <v>1056</v>
      </c>
      <c r="Z422" s="466"/>
      <c r="AA422" s="466"/>
      <c r="AB422" s="466"/>
      <c r="AC422" s="482">
        <v>8698</v>
      </c>
      <c r="AD422" s="467">
        <v>0</v>
      </c>
      <c r="AE422" s="467">
        <v>0</v>
      </c>
      <c r="AF422" s="466"/>
      <c r="AG422" s="467"/>
    </row>
    <row r="423" spans="1:33" customFormat="1" ht="15" customHeight="1">
      <c r="A423" s="375" t="s">
        <v>436</v>
      </c>
      <c r="B423" s="373" t="s">
        <v>783</v>
      </c>
      <c r="C423" s="389"/>
      <c r="D423" s="375">
        <v>227881</v>
      </c>
      <c r="E423" s="375">
        <v>3</v>
      </c>
      <c r="F423" s="464">
        <f t="shared" si="41"/>
        <v>0</v>
      </c>
      <c r="G423" s="465">
        <f t="shared" si="42"/>
        <v>478918</v>
      </c>
      <c r="H423" s="466"/>
      <c r="I423" s="482">
        <v>169547</v>
      </c>
      <c r="J423" s="466"/>
      <c r="K423" s="482">
        <v>1788</v>
      </c>
      <c r="L423" s="466"/>
      <c r="M423" s="466"/>
      <c r="N423" s="466"/>
      <c r="O423" s="482">
        <v>307583</v>
      </c>
      <c r="P423" s="467">
        <v>0</v>
      </c>
      <c r="Q423" s="467">
        <v>0</v>
      </c>
      <c r="R423" s="466"/>
      <c r="S423" s="467"/>
      <c r="T423" s="464">
        <f t="shared" si="43"/>
        <v>0</v>
      </c>
      <c r="U423" s="465">
        <f t="shared" si="44"/>
        <v>43490</v>
      </c>
      <c r="V423" s="466"/>
      <c r="W423" s="482">
        <v>10805</v>
      </c>
      <c r="X423" s="466"/>
      <c r="Y423" s="482">
        <v>66</v>
      </c>
      <c r="Z423" s="466"/>
      <c r="AA423" s="466"/>
      <c r="AB423" s="466"/>
      <c r="AC423" s="482">
        <v>32619</v>
      </c>
      <c r="AD423" s="467">
        <v>0</v>
      </c>
      <c r="AE423" s="467">
        <v>0</v>
      </c>
      <c r="AF423" s="466"/>
      <c r="AG423" s="467"/>
    </row>
    <row r="424" spans="1:33" customFormat="1" ht="15" customHeight="1">
      <c r="A424" s="375" t="s">
        <v>436</v>
      </c>
      <c r="B424" s="373" t="s">
        <v>784</v>
      </c>
      <c r="C424" s="389"/>
      <c r="D424" s="375">
        <v>228431</v>
      </c>
      <c r="E424" s="375">
        <v>3</v>
      </c>
      <c r="F424" s="464">
        <f t="shared" si="41"/>
        <v>0</v>
      </c>
      <c r="G424" s="465">
        <f t="shared" si="42"/>
        <v>277484</v>
      </c>
      <c r="H424" s="466"/>
      <c r="I424" s="482">
        <v>113256</v>
      </c>
      <c r="J424" s="466"/>
      <c r="K424" s="482">
        <v>5832</v>
      </c>
      <c r="L424" s="466"/>
      <c r="M424" s="466"/>
      <c r="N424" s="466"/>
      <c r="O424" s="482">
        <v>156053</v>
      </c>
      <c r="P424" s="482">
        <v>1746</v>
      </c>
      <c r="Q424" s="482">
        <v>597</v>
      </c>
      <c r="R424" s="466"/>
      <c r="S424" s="467"/>
      <c r="T424" s="464">
        <f t="shared" si="43"/>
        <v>0</v>
      </c>
      <c r="U424" s="465">
        <f t="shared" si="44"/>
        <v>25189</v>
      </c>
      <c r="V424" s="466"/>
      <c r="W424" s="482">
        <v>6287</v>
      </c>
      <c r="X424" s="466"/>
      <c r="Y424" s="482">
        <v>472</v>
      </c>
      <c r="Z424" s="466"/>
      <c r="AA424" s="466"/>
      <c r="AB424" s="466"/>
      <c r="AC424" s="482">
        <v>18360</v>
      </c>
      <c r="AD424" s="482">
        <v>16</v>
      </c>
      <c r="AE424" s="482">
        <v>54</v>
      </c>
      <c r="AF424" s="466"/>
      <c r="AG424" s="467"/>
    </row>
    <row r="425" spans="1:33" customFormat="1" ht="15" customHeight="1">
      <c r="A425" s="375" t="s">
        <v>436</v>
      </c>
      <c r="B425" s="373" t="s">
        <v>785</v>
      </c>
      <c r="C425" s="389"/>
      <c r="D425" s="375">
        <v>228501</v>
      </c>
      <c r="E425" s="375">
        <v>3</v>
      </c>
      <c r="F425" s="464">
        <f t="shared" si="41"/>
        <v>0</v>
      </c>
      <c r="G425" s="465">
        <f t="shared" si="42"/>
        <v>28178</v>
      </c>
      <c r="H425" s="466"/>
      <c r="I425" s="482">
        <v>17397</v>
      </c>
      <c r="J425" s="466"/>
      <c r="K425" s="482">
        <v>120</v>
      </c>
      <c r="L425" s="466"/>
      <c r="M425" s="466"/>
      <c r="N425" s="466"/>
      <c r="O425" s="482">
        <v>7878</v>
      </c>
      <c r="P425" s="482">
        <v>378</v>
      </c>
      <c r="Q425" s="482">
        <v>2405</v>
      </c>
      <c r="R425" s="466"/>
      <c r="S425" s="467"/>
      <c r="T425" s="464">
        <f t="shared" si="43"/>
        <v>0</v>
      </c>
      <c r="U425" s="465">
        <f t="shared" si="44"/>
        <v>6517</v>
      </c>
      <c r="V425" s="466"/>
      <c r="W425" s="482">
        <v>875</v>
      </c>
      <c r="X425" s="466"/>
      <c r="Y425" s="482">
        <v>60</v>
      </c>
      <c r="Z425" s="466"/>
      <c r="AA425" s="466"/>
      <c r="AB425" s="466"/>
      <c r="AC425" s="482">
        <v>5377</v>
      </c>
      <c r="AD425" s="482">
        <v>4</v>
      </c>
      <c r="AE425" s="482">
        <v>201</v>
      </c>
      <c r="AF425" s="466"/>
      <c r="AG425" s="467"/>
    </row>
    <row r="426" spans="1:33" customFormat="1" ht="15" customHeight="1">
      <c r="A426" s="375" t="s">
        <v>436</v>
      </c>
      <c r="B426" s="373" t="s">
        <v>786</v>
      </c>
      <c r="C426" s="389"/>
      <c r="D426" s="375">
        <v>228529</v>
      </c>
      <c r="E426" s="375">
        <v>3</v>
      </c>
      <c r="F426" s="464">
        <f t="shared" si="41"/>
        <v>0</v>
      </c>
      <c r="G426" s="465">
        <f t="shared" si="42"/>
        <v>294766</v>
      </c>
      <c r="H426" s="466"/>
      <c r="I426" s="482">
        <v>88029</v>
      </c>
      <c r="J426" s="466"/>
      <c r="K426" s="482">
        <v>8358</v>
      </c>
      <c r="L426" s="466"/>
      <c r="M426" s="466"/>
      <c r="N426" s="466"/>
      <c r="O426" s="482">
        <v>198189</v>
      </c>
      <c r="P426" s="482">
        <v>190</v>
      </c>
      <c r="Q426" s="467">
        <v>0</v>
      </c>
      <c r="R426" s="466"/>
      <c r="S426" s="467"/>
      <c r="T426" s="464">
        <f t="shared" si="43"/>
        <v>0</v>
      </c>
      <c r="U426" s="465">
        <f t="shared" si="44"/>
        <v>33580</v>
      </c>
      <c r="V426" s="466"/>
      <c r="W426" s="482">
        <v>1695</v>
      </c>
      <c r="X426" s="466"/>
      <c r="Y426" s="482">
        <v>1983</v>
      </c>
      <c r="Z426" s="466"/>
      <c r="AA426" s="466"/>
      <c r="AB426" s="466"/>
      <c r="AC426" s="482">
        <v>29869</v>
      </c>
      <c r="AD426" s="482">
        <v>33</v>
      </c>
      <c r="AE426" s="467">
        <v>0</v>
      </c>
      <c r="AF426" s="466"/>
      <c r="AG426" s="467"/>
    </row>
    <row r="427" spans="1:33" customFormat="1" ht="15" customHeight="1">
      <c r="A427" s="375" t="s">
        <v>436</v>
      </c>
      <c r="B427" s="373" t="s">
        <v>787</v>
      </c>
      <c r="C427" s="389"/>
      <c r="D427" s="375">
        <v>226152</v>
      </c>
      <c r="E427" s="375">
        <v>3</v>
      </c>
      <c r="F427" s="464">
        <f t="shared" si="41"/>
        <v>0</v>
      </c>
      <c r="G427" s="465">
        <f t="shared" si="42"/>
        <v>181203</v>
      </c>
      <c r="H427" s="466"/>
      <c r="I427" s="482">
        <v>130387</v>
      </c>
      <c r="J427" s="466"/>
      <c r="K427" s="482">
        <v>516</v>
      </c>
      <c r="L427" s="466"/>
      <c r="M427" s="466"/>
      <c r="N427" s="466"/>
      <c r="O427" s="482">
        <v>50300</v>
      </c>
      <c r="P427" s="467">
        <v>0</v>
      </c>
      <c r="Q427" s="467">
        <v>0</v>
      </c>
      <c r="R427" s="466"/>
      <c r="S427" s="467"/>
      <c r="T427" s="464">
        <f t="shared" si="43"/>
        <v>0</v>
      </c>
      <c r="U427" s="465">
        <f t="shared" si="44"/>
        <v>22151</v>
      </c>
      <c r="V427" s="466"/>
      <c r="W427" s="482">
        <v>5095</v>
      </c>
      <c r="X427" s="466"/>
      <c r="Y427" s="482">
        <v>81</v>
      </c>
      <c r="Z427" s="466"/>
      <c r="AA427" s="466"/>
      <c r="AB427" s="466"/>
      <c r="AC427" s="482">
        <v>16975</v>
      </c>
      <c r="AD427" s="467">
        <v>0</v>
      </c>
      <c r="AE427" s="467">
        <v>0</v>
      </c>
      <c r="AF427" s="466"/>
      <c r="AG427" s="467"/>
    </row>
    <row r="428" spans="1:33" customFormat="1" ht="15" customHeight="1">
      <c r="A428" s="375" t="s">
        <v>436</v>
      </c>
      <c r="B428" s="373" t="s">
        <v>788</v>
      </c>
      <c r="C428" s="389"/>
      <c r="D428" s="375">
        <v>224554</v>
      </c>
      <c r="E428" s="375">
        <v>3</v>
      </c>
      <c r="F428" s="464">
        <f t="shared" si="41"/>
        <v>0</v>
      </c>
      <c r="G428" s="465">
        <f t="shared" si="42"/>
        <v>204988</v>
      </c>
      <c r="H428" s="466"/>
      <c r="I428" s="482">
        <v>52968</v>
      </c>
      <c r="J428" s="466"/>
      <c r="K428" s="482">
        <v>11266</v>
      </c>
      <c r="L428" s="466"/>
      <c r="M428" s="466"/>
      <c r="N428" s="466"/>
      <c r="O428" s="482">
        <v>140661</v>
      </c>
      <c r="P428" s="482">
        <v>93</v>
      </c>
      <c r="Q428" s="467">
        <v>0</v>
      </c>
      <c r="R428" s="466"/>
      <c r="S428" s="467"/>
      <c r="T428" s="464">
        <f t="shared" si="43"/>
        <v>0</v>
      </c>
      <c r="U428" s="465">
        <f t="shared" si="44"/>
        <v>61837</v>
      </c>
      <c r="V428" s="466"/>
      <c r="W428" s="482">
        <v>5424</v>
      </c>
      <c r="X428" s="466"/>
      <c r="Y428" s="482">
        <v>1672</v>
      </c>
      <c r="Z428" s="466"/>
      <c r="AA428" s="466"/>
      <c r="AB428" s="466"/>
      <c r="AC428" s="482">
        <v>54726</v>
      </c>
      <c r="AD428" s="482">
        <v>15</v>
      </c>
      <c r="AE428" s="467">
        <v>0</v>
      </c>
      <c r="AF428" s="466"/>
      <c r="AG428" s="467"/>
    </row>
    <row r="429" spans="1:33" customFormat="1" ht="15" customHeight="1">
      <c r="A429" s="375" t="s">
        <v>436</v>
      </c>
      <c r="B429" s="373" t="s">
        <v>789</v>
      </c>
      <c r="C429" s="389" t="s">
        <v>727</v>
      </c>
      <c r="D429" s="375">
        <v>224147</v>
      </c>
      <c r="E429" s="375">
        <v>3</v>
      </c>
      <c r="F429" s="464">
        <f t="shared" si="41"/>
        <v>0</v>
      </c>
      <c r="G429" s="465">
        <f t="shared" si="42"/>
        <v>224349</v>
      </c>
      <c r="H429" s="466"/>
      <c r="I429" s="482">
        <v>105385</v>
      </c>
      <c r="J429" s="466"/>
      <c r="K429" s="467">
        <v>0</v>
      </c>
      <c r="L429" s="466"/>
      <c r="M429" s="466"/>
      <c r="N429" s="466"/>
      <c r="O429" s="482">
        <v>118917</v>
      </c>
      <c r="P429" s="482">
        <v>47</v>
      </c>
      <c r="Q429" s="467">
        <v>0</v>
      </c>
      <c r="R429" s="466"/>
      <c r="S429" s="467"/>
      <c r="T429" s="464">
        <f t="shared" si="43"/>
        <v>0</v>
      </c>
      <c r="U429" s="465">
        <f t="shared" si="44"/>
        <v>42530</v>
      </c>
      <c r="V429" s="466"/>
      <c r="W429" s="482">
        <v>7224</v>
      </c>
      <c r="X429" s="466"/>
      <c r="Y429" s="467">
        <v>0</v>
      </c>
      <c r="Z429" s="466"/>
      <c r="AA429" s="466"/>
      <c r="AB429" s="466"/>
      <c r="AC429" s="482">
        <v>35303</v>
      </c>
      <c r="AD429" s="482">
        <v>3</v>
      </c>
      <c r="AE429" s="467">
        <v>0</v>
      </c>
      <c r="AF429" s="466"/>
      <c r="AG429" s="467"/>
    </row>
    <row r="430" spans="1:33" customFormat="1" ht="15" customHeight="1">
      <c r="A430" s="375" t="s">
        <v>436</v>
      </c>
      <c r="B430" s="373" t="s">
        <v>790</v>
      </c>
      <c r="C430" s="389"/>
      <c r="D430" s="375">
        <v>228705</v>
      </c>
      <c r="E430" s="375">
        <v>3</v>
      </c>
      <c r="F430" s="464">
        <f t="shared" si="41"/>
        <v>0</v>
      </c>
      <c r="G430" s="465">
        <f t="shared" si="42"/>
        <v>142771</v>
      </c>
      <c r="H430" s="466"/>
      <c r="I430" s="482">
        <v>82918</v>
      </c>
      <c r="J430" s="466"/>
      <c r="K430" s="482">
        <v>2704</v>
      </c>
      <c r="L430" s="466"/>
      <c r="M430" s="466"/>
      <c r="N430" s="466"/>
      <c r="O430" s="482">
        <v>47202</v>
      </c>
      <c r="P430" s="482">
        <v>9947</v>
      </c>
      <c r="Q430" s="467">
        <v>0</v>
      </c>
      <c r="R430" s="466"/>
      <c r="S430" s="467"/>
      <c r="T430" s="464">
        <f t="shared" si="43"/>
        <v>0</v>
      </c>
      <c r="U430" s="465">
        <f t="shared" si="44"/>
        <v>24117</v>
      </c>
      <c r="V430" s="466"/>
      <c r="W430" s="482">
        <v>12077</v>
      </c>
      <c r="X430" s="466"/>
      <c r="Y430" s="482">
        <v>75</v>
      </c>
      <c r="Z430" s="466"/>
      <c r="AA430" s="466"/>
      <c r="AB430" s="466"/>
      <c r="AC430" s="482">
        <v>10778</v>
      </c>
      <c r="AD430" s="482">
        <v>1187</v>
      </c>
      <c r="AE430" s="467">
        <v>0</v>
      </c>
      <c r="AF430" s="466"/>
      <c r="AG430" s="467"/>
    </row>
    <row r="431" spans="1:33" customFormat="1" ht="15" customHeight="1">
      <c r="A431" s="375" t="s">
        <v>436</v>
      </c>
      <c r="B431" s="373" t="s">
        <v>791</v>
      </c>
      <c r="C431" s="389"/>
      <c r="D431" s="375">
        <v>229063</v>
      </c>
      <c r="E431" s="375">
        <v>3</v>
      </c>
      <c r="F431" s="464">
        <f t="shared" si="41"/>
        <v>0</v>
      </c>
      <c r="G431" s="465">
        <f t="shared" si="42"/>
        <v>157667</v>
      </c>
      <c r="H431" s="466"/>
      <c r="I431" s="482">
        <v>91243</v>
      </c>
      <c r="J431" s="466"/>
      <c r="K431" s="482">
        <v>48</v>
      </c>
      <c r="L431" s="466"/>
      <c r="M431" s="466"/>
      <c r="N431" s="466"/>
      <c r="O431" s="467">
        <v>0</v>
      </c>
      <c r="P431" s="467">
        <v>0</v>
      </c>
      <c r="Q431" s="482">
        <v>66376</v>
      </c>
      <c r="R431" s="466"/>
      <c r="S431" s="467"/>
      <c r="T431" s="464">
        <f t="shared" si="43"/>
        <v>0</v>
      </c>
      <c r="U431" s="465">
        <f t="shared" si="44"/>
        <v>41935</v>
      </c>
      <c r="V431" s="466"/>
      <c r="W431" s="482">
        <v>29399</v>
      </c>
      <c r="X431" s="466"/>
      <c r="Y431" s="467">
        <v>0</v>
      </c>
      <c r="Z431" s="466"/>
      <c r="AA431" s="466"/>
      <c r="AB431" s="466"/>
      <c r="AC431" s="467">
        <v>0</v>
      </c>
      <c r="AD431" s="467">
        <v>0</v>
      </c>
      <c r="AE431" s="482">
        <v>12536</v>
      </c>
      <c r="AF431" s="466"/>
      <c r="AG431" s="467"/>
    </row>
    <row r="432" spans="1:33" customFormat="1" ht="15" customHeight="1">
      <c r="A432" s="375" t="s">
        <v>436</v>
      </c>
      <c r="B432" s="373" t="s">
        <v>792</v>
      </c>
      <c r="C432" s="389"/>
      <c r="D432" s="375">
        <v>225414</v>
      </c>
      <c r="E432" s="375">
        <v>3</v>
      </c>
      <c r="F432" s="464">
        <f t="shared" si="41"/>
        <v>0</v>
      </c>
      <c r="G432" s="465">
        <f t="shared" si="42"/>
        <v>151280</v>
      </c>
      <c r="H432" s="466"/>
      <c r="I432" s="482">
        <v>51744</v>
      </c>
      <c r="J432" s="466"/>
      <c r="K432" s="482">
        <v>4557</v>
      </c>
      <c r="L432" s="466"/>
      <c r="M432" s="466"/>
      <c r="N432" s="466"/>
      <c r="O432" s="482">
        <v>94979</v>
      </c>
      <c r="P432" s="467">
        <v>0</v>
      </c>
      <c r="Q432" s="467">
        <v>0</v>
      </c>
      <c r="R432" s="466"/>
      <c r="S432" s="467"/>
      <c r="T432" s="464">
        <f t="shared" si="43"/>
        <v>0</v>
      </c>
      <c r="U432" s="465">
        <f t="shared" si="44"/>
        <v>41126</v>
      </c>
      <c r="V432" s="466"/>
      <c r="W432" s="482">
        <v>10572</v>
      </c>
      <c r="X432" s="466"/>
      <c r="Y432" s="482">
        <v>4194</v>
      </c>
      <c r="Z432" s="466"/>
      <c r="AA432" s="466"/>
      <c r="AB432" s="466"/>
      <c r="AC432" s="482">
        <v>26360</v>
      </c>
      <c r="AD432" s="467">
        <v>0</v>
      </c>
      <c r="AE432" s="467">
        <v>0</v>
      </c>
      <c r="AF432" s="466"/>
      <c r="AG432" s="467"/>
    </row>
    <row r="433" spans="1:33" customFormat="1" ht="15" customHeight="1">
      <c r="A433" s="375" t="s">
        <v>436</v>
      </c>
      <c r="B433" s="373" t="s">
        <v>793</v>
      </c>
      <c r="C433" s="389"/>
      <c r="D433" s="375">
        <v>228802</v>
      </c>
      <c r="E433" s="375">
        <v>3</v>
      </c>
      <c r="F433" s="464">
        <f t="shared" si="41"/>
        <v>0</v>
      </c>
      <c r="G433" s="465">
        <f t="shared" si="42"/>
        <v>179820</v>
      </c>
      <c r="H433" s="466"/>
      <c r="I433" s="482">
        <v>55022</v>
      </c>
      <c r="J433" s="466"/>
      <c r="K433" s="482">
        <v>8697</v>
      </c>
      <c r="L433" s="466"/>
      <c r="M433" s="466"/>
      <c r="N433" s="466"/>
      <c r="O433" s="482">
        <v>115077</v>
      </c>
      <c r="P433" s="482">
        <v>1024</v>
      </c>
      <c r="Q433" s="467">
        <v>0</v>
      </c>
      <c r="R433" s="466"/>
      <c r="S433" s="467"/>
      <c r="T433" s="464">
        <f t="shared" si="43"/>
        <v>0</v>
      </c>
      <c r="U433" s="465">
        <f t="shared" si="44"/>
        <v>38854</v>
      </c>
      <c r="V433" s="466"/>
      <c r="W433" s="482">
        <v>3651</v>
      </c>
      <c r="X433" s="466"/>
      <c r="Y433" s="482">
        <v>18</v>
      </c>
      <c r="Z433" s="466"/>
      <c r="AA433" s="466"/>
      <c r="AB433" s="466"/>
      <c r="AC433" s="482">
        <v>35122</v>
      </c>
      <c r="AD433" s="482">
        <v>63</v>
      </c>
      <c r="AE433" s="467">
        <v>0</v>
      </c>
      <c r="AF433" s="466"/>
      <c r="AG433" s="467"/>
    </row>
    <row r="434" spans="1:33" customFormat="1" ht="15" customHeight="1">
      <c r="A434" s="375" t="s">
        <v>436</v>
      </c>
      <c r="B434" s="390" t="s">
        <v>794</v>
      </c>
      <c r="C434" s="389"/>
      <c r="D434" s="375">
        <v>229018</v>
      </c>
      <c r="E434" s="375">
        <v>3</v>
      </c>
      <c r="F434" s="464">
        <f t="shared" si="41"/>
        <v>0</v>
      </c>
      <c r="G434" s="465">
        <f t="shared" si="42"/>
        <v>102741</v>
      </c>
      <c r="H434" s="466"/>
      <c r="I434" s="482">
        <v>31108</v>
      </c>
      <c r="J434" s="466"/>
      <c r="K434" s="482">
        <v>81</v>
      </c>
      <c r="L434" s="466"/>
      <c r="M434" s="466"/>
      <c r="N434" s="466"/>
      <c r="O434" s="482">
        <v>71552</v>
      </c>
      <c r="P434" s="467">
        <v>0</v>
      </c>
      <c r="Q434" s="467">
        <v>0</v>
      </c>
      <c r="R434" s="466"/>
      <c r="S434" s="467"/>
      <c r="T434" s="464">
        <f t="shared" si="43"/>
        <v>0</v>
      </c>
      <c r="U434" s="465">
        <f t="shared" si="44"/>
        <v>15981</v>
      </c>
      <c r="V434" s="466"/>
      <c r="W434" s="482">
        <v>1716</v>
      </c>
      <c r="X434" s="466"/>
      <c r="Y434" s="467">
        <v>0</v>
      </c>
      <c r="Z434" s="466"/>
      <c r="AA434" s="466"/>
      <c r="AB434" s="466"/>
      <c r="AC434" s="482">
        <v>14265</v>
      </c>
      <c r="AD434" s="467">
        <v>0</v>
      </c>
      <c r="AE434" s="467">
        <v>0</v>
      </c>
      <c r="AF434" s="466"/>
      <c r="AG434" s="467"/>
    </row>
    <row r="435" spans="1:33" customFormat="1" ht="15" customHeight="1">
      <c r="A435" s="435" t="s">
        <v>436</v>
      </c>
      <c r="B435" s="388" t="s">
        <v>795</v>
      </c>
      <c r="C435" s="389"/>
      <c r="D435" s="375">
        <v>227368</v>
      </c>
      <c r="E435" s="375">
        <v>3</v>
      </c>
      <c r="F435" s="464">
        <f t="shared" si="41"/>
        <v>0</v>
      </c>
      <c r="G435" s="465">
        <f t="shared" si="42"/>
        <v>722418</v>
      </c>
      <c r="H435" s="466"/>
      <c r="I435" s="482">
        <v>198346</v>
      </c>
      <c r="J435" s="466"/>
      <c r="K435" s="482">
        <v>2653</v>
      </c>
      <c r="L435" s="466"/>
      <c r="M435" s="466"/>
      <c r="N435" s="466"/>
      <c r="O435" s="482">
        <v>514775</v>
      </c>
      <c r="P435" s="482">
        <v>6644</v>
      </c>
      <c r="Q435" s="467">
        <v>0</v>
      </c>
      <c r="R435" s="466"/>
      <c r="S435" s="467"/>
      <c r="T435" s="464">
        <f t="shared" si="43"/>
        <v>0</v>
      </c>
      <c r="U435" s="465">
        <f t="shared" si="44"/>
        <v>89493</v>
      </c>
      <c r="V435" s="466"/>
      <c r="W435" s="482">
        <v>14757</v>
      </c>
      <c r="X435" s="466"/>
      <c r="Y435" s="482">
        <v>456</v>
      </c>
      <c r="Z435" s="466"/>
      <c r="AA435" s="466"/>
      <c r="AB435" s="466"/>
      <c r="AC435" s="482">
        <v>72742</v>
      </c>
      <c r="AD435" s="482">
        <v>1538</v>
      </c>
      <c r="AE435" s="467">
        <v>0</v>
      </c>
      <c r="AF435" s="466"/>
      <c r="AG435" s="467"/>
    </row>
    <row r="436" spans="1:33" customFormat="1" ht="15" customHeight="1">
      <c r="A436" s="375" t="s">
        <v>436</v>
      </c>
      <c r="B436" s="373" t="s">
        <v>796</v>
      </c>
      <c r="C436" s="389"/>
      <c r="D436" s="375">
        <v>229814</v>
      </c>
      <c r="E436" s="375">
        <v>3</v>
      </c>
      <c r="F436" s="464">
        <f t="shared" si="41"/>
        <v>0</v>
      </c>
      <c r="G436" s="465">
        <f t="shared" si="42"/>
        <v>187090</v>
      </c>
      <c r="H436" s="466"/>
      <c r="I436" s="482">
        <v>113689</v>
      </c>
      <c r="J436" s="466"/>
      <c r="K436" s="482">
        <v>303</v>
      </c>
      <c r="L436" s="466"/>
      <c r="M436" s="466"/>
      <c r="N436" s="466"/>
      <c r="O436" s="482">
        <v>73098</v>
      </c>
      <c r="P436" s="467">
        <v>0</v>
      </c>
      <c r="Q436" s="467">
        <v>0</v>
      </c>
      <c r="R436" s="466"/>
      <c r="S436" s="467"/>
      <c r="T436" s="464">
        <f t="shared" si="43"/>
        <v>0</v>
      </c>
      <c r="U436" s="465">
        <f t="shared" si="44"/>
        <v>38575</v>
      </c>
      <c r="V436" s="466"/>
      <c r="W436" s="482">
        <v>5400</v>
      </c>
      <c r="X436" s="466"/>
      <c r="Y436" s="467">
        <v>0</v>
      </c>
      <c r="Z436" s="466"/>
      <c r="AA436" s="466"/>
      <c r="AB436" s="466"/>
      <c r="AC436" s="482">
        <v>33175</v>
      </c>
      <c r="AD436" s="467">
        <v>0</v>
      </c>
      <c r="AE436" s="467">
        <v>0</v>
      </c>
      <c r="AF436" s="466"/>
      <c r="AG436" s="467"/>
    </row>
    <row r="437" spans="1:33" customFormat="1" ht="15" customHeight="1">
      <c r="A437" s="375" t="s">
        <v>436</v>
      </c>
      <c r="B437" s="373" t="s">
        <v>797</v>
      </c>
      <c r="C437" s="389"/>
      <c r="D437" s="375">
        <v>224545</v>
      </c>
      <c r="E437" s="375">
        <v>4</v>
      </c>
      <c r="F437" s="464">
        <f t="shared" si="41"/>
        <v>0</v>
      </c>
      <c r="G437" s="465">
        <f t="shared" si="42"/>
        <v>43513</v>
      </c>
      <c r="H437" s="466"/>
      <c r="I437" s="482">
        <v>14065</v>
      </c>
      <c r="J437" s="466"/>
      <c r="K437" s="482">
        <v>772</v>
      </c>
      <c r="L437" s="466"/>
      <c r="M437" s="466"/>
      <c r="N437" s="466"/>
      <c r="O437" s="482">
        <v>28544</v>
      </c>
      <c r="P437" s="482">
        <v>132</v>
      </c>
      <c r="Q437" s="467">
        <v>0</v>
      </c>
      <c r="R437" s="466"/>
      <c r="S437" s="467"/>
      <c r="T437" s="464">
        <f t="shared" ref="T437:T500" si="45">SUM(V437,X436,Z437,AA437,AB437,AF437)</f>
        <v>0</v>
      </c>
      <c r="U437" s="465">
        <f t="shared" si="44"/>
        <v>5528</v>
      </c>
      <c r="V437" s="466"/>
      <c r="W437" s="482">
        <v>433</v>
      </c>
      <c r="X437" s="466"/>
      <c r="Y437" s="482">
        <v>75</v>
      </c>
      <c r="Z437" s="466"/>
      <c r="AA437" s="466"/>
      <c r="AB437" s="466"/>
      <c r="AC437" s="482">
        <v>5020</v>
      </c>
      <c r="AD437" s="467">
        <v>0</v>
      </c>
      <c r="AE437" s="467">
        <v>0</v>
      </c>
      <c r="AF437" s="466"/>
      <c r="AG437" s="467"/>
    </row>
    <row r="438" spans="1:33" customFormat="1" ht="15" customHeight="1">
      <c r="A438" s="375" t="s">
        <v>436</v>
      </c>
      <c r="B438" s="373" t="s">
        <v>798</v>
      </c>
      <c r="C438" s="442" t="s">
        <v>903</v>
      </c>
      <c r="D438" s="46">
        <v>483036</v>
      </c>
      <c r="E438" s="443">
        <v>3</v>
      </c>
      <c r="F438" s="464">
        <f t="shared" si="41"/>
        <v>0</v>
      </c>
      <c r="G438" s="465">
        <f t="shared" si="42"/>
        <v>39440</v>
      </c>
      <c r="H438" s="466"/>
      <c r="I438" s="482">
        <v>10185</v>
      </c>
      <c r="J438" s="466"/>
      <c r="K438" s="482">
        <v>444</v>
      </c>
      <c r="L438" s="466"/>
      <c r="M438" s="466"/>
      <c r="N438" s="466"/>
      <c r="O438" s="482">
        <v>27142</v>
      </c>
      <c r="P438" s="482">
        <v>1669</v>
      </c>
      <c r="Q438" s="467">
        <v>0</v>
      </c>
      <c r="R438" s="466"/>
      <c r="S438" s="467"/>
      <c r="T438" s="464">
        <f t="shared" si="45"/>
        <v>0</v>
      </c>
      <c r="U438" s="465">
        <f t="shared" si="44"/>
        <v>7891</v>
      </c>
      <c r="V438" s="466"/>
      <c r="W438" s="482">
        <v>2134</v>
      </c>
      <c r="X438" s="466"/>
      <c r="Y438" s="467">
        <v>0</v>
      </c>
      <c r="Z438" s="466"/>
      <c r="AA438" s="466"/>
      <c r="AB438" s="466"/>
      <c r="AC438" s="482">
        <v>5508</v>
      </c>
      <c r="AD438" s="482">
        <v>249</v>
      </c>
      <c r="AE438" s="467">
        <v>0</v>
      </c>
      <c r="AF438" s="466"/>
      <c r="AG438" s="467"/>
    </row>
    <row r="439" spans="1:33" customFormat="1" ht="15" customHeight="1">
      <c r="A439" s="375" t="s">
        <v>436</v>
      </c>
      <c r="B439" s="373" t="s">
        <v>799</v>
      </c>
      <c r="C439" s="444"/>
      <c r="D439" s="375">
        <v>225432</v>
      </c>
      <c r="E439" s="375">
        <v>4</v>
      </c>
      <c r="F439" s="464">
        <f t="shared" si="41"/>
        <v>0</v>
      </c>
      <c r="G439" s="465">
        <f t="shared" si="42"/>
        <v>293542</v>
      </c>
      <c r="H439" s="466"/>
      <c r="I439" s="482">
        <v>55135</v>
      </c>
      <c r="J439" s="466"/>
      <c r="K439" s="482">
        <v>3035</v>
      </c>
      <c r="L439" s="466"/>
      <c r="M439" s="466"/>
      <c r="N439" s="466"/>
      <c r="O439" s="482">
        <v>235043</v>
      </c>
      <c r="P439" s="482">
        <v>329</v>
      </c>
      <c r="Q439" s="467">
        <v>0</v>
      </c>
      <c r="R439" s="466"/>
      <c r="S439" s="467"/>
      <c r="T439" s="464">
        <f t="shared" si="45"/>
        <v>0</v>
      </c>
      <c r="U439" s="465">
        <f t="shared" si="44"/>
        <v>27336</v>
      </c>
      <c r="V439" s="466"/>
      <c r="W439" s="482">
        <v>1077</v>
      </c>
      <c r="X439" s="466"/>
      <c r="Y439" s="467">
        <v>0</v>
      </c>
      <c r="Z439" s="466"/>
      <c r="AA439" s="466"/>
      <c r="AB439" s="466"/>
      <c r="AC439" s="482">
        <v>26220</v>
      </c>
      <c r="AD439" s="482">
        <v>39</v>
      </c>
      <c r="AE439" s="467">
        <v>0</v>
      </c>
      <c r="AF439" s="466"/>
      <c r="AG439" s="467"/>
    </row>
    <row r="440" spans="1:33" customFormat="1" ht="15" customHeight="1">
      <c r="A440" s="375" t="s">
        <v>436</v>
      </c>
      <c r="B440" s="373" t="s">
        <v>800</v>
      </c>
      <c r="C440" s="389"/>
      <c r="D440" s="375">
        <v>225502</v>
      </c>
      <c r="E440" s="375">
        <v>4</v>
      </c>
      <c r="F440" s="464">
        <f t="shared" si="41"/>
        <v>0</v>
      </c>
      <c r="G440" s="465">
        <f t="shared" si="42"/>
        <v>75176</v>
      </c>
      <c r="H440" s="466"/>
      <c r="I440" s="482">
        <v>10029</v>
      </c>
      <c r="J440" s="466"/>
      <c r="K440" s="482">
        <v>1404</v>
      </c>
      <c r="L440" s="466"/>
      <c r="M440" s="466"/>
      <c r="N440" s="466"/>
      <c r="O440" s="482">
        <v>61964</v>
      </c>
      <c r="P440" s="482">
        <v>1779</v>
      </c>
      <c r="Q440" s="467">
        <v>0</v>
      </c>
      <c r="R440" s="466"/>
      <c r="S440" s="467"/>
      <c r="T440" s="464">
        <f t="shared" si="45"/>
        <v>0</v>
      </c>
      <c r="U440" s="465">
        <f t="shared" si="44"/>
        <v>24568</v>
      </c>
      <c r="V440" s="466"/>
      <c r="W440" s="482">
        <v>127</v>
      </c>
      <c r="X440" s="466"/>
      <c r="Y440" s="482">
        <v>769</v>
      </c>
      <c r="Z440" s="466"/>
      <c r="AA440" s="466"/>
      <c r="AB440" s="466"/>
      <c r="AC440" s="482">
        <v>22997</v>
      </c>
      <c r="AD440" s="482">
        <v>675</v>
      </c>
      <c r="AE440" s="467">
        <v>0</v>
      </c>
      <c r="AF440" s="466"/>
      <c r="AG440" s="467"/>
    </row>
    <row r="441" spans="1:33" customFormat="1" ht="15" customHeight="1">
      <c r="A441" s="375" t="s">
        <v>436</v>
      </c>
      <c r="B441" s="373" t="s">
        <v>801</v>
      </c>
      <c r="C441" s="389"/>
      <c r="D441" s="375" t="s">
        <v>802</v>
      </c>
      <c r="E441" s="375">
        <v>5</v>
      </c>
      <c r="F441" s="464">
        <f t="shared" si="41"/>
        <v>0</v>
      </c>
      <c r="G441" s="465">
        <f t="shared" si="42"/>
        <v>14314</v>
      </c>
      <c r="H441" s="466"/>
      <c r="I441" s="482">
        <v>629</v>
      </c>
      <c r="J441" s="466"/>
      <c r="K441" s="482">
        <v>168</v>
      </c>
      <c r="L441" s="466"/>
      <c r="M441" s="466"/>
      <c r="N441" s="466"/>
      <c r="O441" s="482">
        <v>9309</v>
      </c>
      <c r="P441" s="482">
        <v>2142</v>
      </c>
      <c r="Q441" s="482">
        <v>2066</v>
      </c>
      <c r="R441" s="466"/>
      <c r="S441" s="467"/>
      <c r="T441" s="464">
        <f t="shared" si="45"/>
        <v>0</v>
      </c>
      <c r="U441" s="465">
        <f t="shared" si="44"/>
        <v>1512</v>
      </c>
      <c r="V441" s="466"/>
      <c r="W441" s="482">
        <v>192</v>
      </c>
      <c r="X441" s="466"/>
      <c r="Y441" s="482">
        <v>120</v>
      </c>
      <c r="Z441" s="466"/>
      <c r="AA441" s="466"/>
      <c r="AB441" s="466"/>
      <c r="AC441" s="482">
        <v>948</v>
      </c>
      <c r="AD441" s="482">
        <v>90</v>
      </c>
      <c r="AE441" s="482">
        <v>162</v>
      </c>
      <c r="AF441" s="466"/>
      <c r="AG441" s="467"/>
    </row>
    <row r="442" spans="1:33" customFormat="1" ht="15" customHeight="1">
      <c r="A442" s="375" t="s">
        <v>436</v>
      </c>
      <c r="B442" s="373" t="s">
        <v>803</v>
      </c>
      <c r="C442" s="376"/>
      <c r="D442" s="375">
        <v>228714</v>
      </c>
      <c r="E442" s="375">
        <v>5</v>
      </c>
      <c r="F442" s="464">
        <f t="shared" si="41"/>
        <v>0</v>
      </c>
      <c r="G442" s="465">
        <f t="shared" si="42"/>
        <v>50583</v>
      </c>
      <c r="H442" s="466"/>
      <c r="I442" s="482">
        <v>28418</v>
      </c>
      <c r="J442" s="466"/>
      <c r="K442" s="482">
        <v>5621</v>
      </c>
      <c r="L442" s="466"/>
      <c r="M442" s="466"/>
      <c r="N442" s="466"/>
      <c r="O442" s="482">
        <v>16475</v>
      </c>
      <c r="P442" s="482">
        <v>9</v>
      </c>
      <c r="Q442" s="482">
        <v>60</v>
      </c>
      <c r="R442" s="466"/>
      <c r="S442" s="467"/>
      <c r="T442" s="464">
        <f t="shared" si="45"/>
        <v>0</v>
      </c>
      <c r="U442" s="465">
        <f t="shared" si="44"/>
        <v>2949</v>
      </c>
      <c r="V442" s="466"/>
      <c r="W442" s="482">
        <v>1326</v>
      </c>
      <c r="X442" s="466"/>
      <c r="Y442" s="482">
        <v>143</v>
      </c>
      <c r="Z442" s="466"/>
      <c r="AA442" s="466"/>
      <c r="AB442" s="466"/>
      <c r="AC442" s="482">
        <v>1446</v>
      </c>
      <c r="AD442" s="467">
        <v>0</v>
      </c>
      <c r="AE442" s="482">
        <v>34</v>
      </c>
      <c r="AF442" s="466"/>
      <c r="AG442" s="467"/>
    </row>
    <row r="443" spans="1:33" customFormat="1" ht="15" customHeight="1">
      <c r="A443" s="375" t="s">
        <v>436</v>
      </c>
      <c r="B443" s="373" t="s">
        <v>804</v>
      </c>
      <c r="C443" s="442" t="s">
        <v>904</v>
      </c>
      <c r="D443" s="46">
        <v>870501</v>
      </c>
      <c r="E443" s="443">
        <v>4</v>
      </c>
      <c r="F443" s="464">
        <f t="shared" si="41"/>
        <v>0</v>
      </c>
      <c r="G443" s="465">
        <f t="shared" si="42"/>
        <v>134983</v>
      </c>
      <c r="H443" s="466"/>
      <c r="I443" s="482">
        <v>45530</v>
      </c>
      <c r="J443" s="466"/>
      <c r="K443" s="482">
        <v>807</v>
      </c>
      <c r="L443" s="466"/>
      <c r="M443" s="466"/>
      <c r="N443" s="466"/>
      <c r="O443" s="482">
        <v>88493</v>
      </c>
      <c r="P443" s="467">
        <v>0</v>
      </c>
      <c r="Q443" s="482">
        <v>153</v>
      </c>
      <c r="R443" s="466"/>
      <c r="S443" s="467"/>
      <c r="T443" s="464">
        <f t="shared" si="45"/>
        <v>0</v>
      </c>
      <c r="U443" s="465">
        <f t="shared" si="44"/>
        <v>10713</v>
      </c>
      <c r="V443" s="466"/>
      <c r="W443" s="482">
        <v>2115</v>
      </c>
      <c r="X443" s="466"/>
      <c r="Y443" s="467">
        <v>0</v>
      </c>
      <c r="Z443" s="466"/>
      <c r="AA443" s="466"/>
      <c r="AB443" s="466"/>
      <c r="AC443" s="482">
        <v>7482</v>
      </c>
      <c r="AD443" s="467">
        <v>0</v>
      </c>
      <c r="AE443" s="482">
        <v>1116</v>
      </c>
      <c r="AF443" s="466"/>
      <c r="AG443" s="467"/>
    </row>
    <row r="444" spans="1:33" customFormat="1" ht="15" customHeight="1">
      <c r="A444" s="375" t="s">
        <v>436</v>
      </c>
      <c r="B444" s="373" t="s">
        <v>805</v>
      </c>
      <c r="C444" s="462" t="s">
        <v>920</v>
      </c>
      <c r="D444" s="375">
        <v>223506</v>
      </c>
      <c r="E444" s="375">
        <v>7</v>
      </c>
      <c r="F444" s="464">
        <f t="shared" si="41"/>
        <v>0</v>
      </c>
      <c r="G444" s="465">
        <f t="shared" si="42"/>
        <v>66819</v>
      </c>
      <c r="H444" s="466"/>
      <c r="I444" s="482">
        <v>22631</v>
      </c>
      <c r="J444" s="466"/>
      <c r="K444" s="482">
        <v>1074</v>
      </c>
      <c r="L444" s="466"/>
      <c r="M444" s="466"/>
      <c r="N444" s="466"/>
      <c r="O444" s="482">
        <v>43114</v>
      </c>
      <c r="P444" s="467">
        <v>0</v>
      </c>
      <c r="Q444" s="467">
        <v>0</v>
      </c>
      <c r="R444" s="466"/>
      <c r="S444" s="467"/>
      <c r="T444" s="464">
        <f t="shared" si="45"/>
        <v>0</v>
      </c>
      <c r="U444" s="465">
        <f t="shared" si="44"/>
        <v>0</v>
      </c>
      <c r="V444" s="466"/>
      <c r="W444" s="467">
        <v>0</v>
      </c>
      <c r="X444" s="466"/>
      <c r="Y444" s="467">
        <v>0</v>
      </c>
      <c r="Z444" s="466"/>
      <c r="AA444" s="466"/>
      <c r="AB444" s="466"/>
      <c r="AC444" s="467">
        <v>0</v>
      </c>
      <c r="AD444" s="467">
        <v>0</v>
      </c>
      <c r="AE444" s="467">
        <v>0</v>
      </c>
      <c r="AF444" s="466"/>
      <c r="AG444" s="467"/>
    </row>
    <row r="445" spans="1:33" customFormat="1" ht="15" customHeight="1">
      <c r="A445" s="375" t="s">
        <v>436</v>
      </c>
      <c r="B445" s="373" t="s">
        <v>806</v>
      </c>
      <c r="C445" s="462" t="s">
        <v>920</v>
      </c>
      <c r="D445" s="375">
        <v>226806</v>
      </c>
      <c r="E445" s="375">
        <v>7</v>
      </c>
      <c r="F445" s="464">
        <f t="shared" si="41"/>
        <v>0</v>
      </c>
      <c r="G445" s="465">
        <f t="shared" si="42"/>
        <v>87722</v>
      </c>
      <c r="H445" s="466"/>
      <c r="I445" s="482">
        <v>28881</v>
      </c>
      <c r="J445" s="466"/>
      <c r="K445" s="482">
        <v>9972</v>
      </c>
      <c r="L445" s="466"/>
      <c r="M445" s="466"/>
      <c r="N445" s="466"/>
      <c r="O445" s="482">
        <v>48230</v>
      </c>
      <c r="P445" s="482">
        <v>639</v>
      </c>
      <c r="Q445" s="467">
        <v>0</v>
      </c>
      <c r="R445" s="466"/>
      <c r="S445" s="467"/>
      <c r="T445" s="464">
        <f t="shared" si="45"/>
        <v>0</v>
      </c>
      <c r="U445" s="465">
        <f t="shared" si="44"/>
        <v>0</v>
      </c>
      <c r="V445" s="466"/>
      <c r="W445" s="467">
        <v>0</v>
      </c>
      <c r="X445" s="466"/>
      <c r="Y445" s="467">
        <v>0</v>
      </c>
      <c r="Z445" s="466"/>
      <c r="AA445" s="466"/>
      <c r="AB445" s="466"/>
      <c r="AC445" s="467">
        <v>0</v>
      </c>
      <c r="AD445" s="467">
        <v>0</v>
      </c>
      <c r="AE445" s="467">
        <v>0</v>
      </c>
      <c r="AF445" s="466"/>
      <c r="AG445" s="467"/>
    </row>
    <row r="446" spans="1:33" customFormat="1" ht="15" customHeight="1">
      <c r="A446" s="375" t="s">
        <v>436</v>
      </c>
      <c r="B446" s="373" t="s">
        <v>807</v>
      </c>
      <c r="C446" s="462" t="s">
        <v>921</v>
      </c>
      <c r="D446" s="375">
        <v>409315</v>
      </c>
      <c r="E446" s="375">
        <v>7</v>
      </c>
      <c r="F446" s="464">
        <f t="shared" si="41"/>
        <v>0</v>
      </c>
      <c r="G446" s="465">
        <f t="shared" si="42"/>
        <v>591272</v>
      </c>
      <c r="H446" s="466"/>
      <c r="I446" s="482">
        <v>213381</v>
      </c>
      <c r="J446" s="466"/>
      <c r="K446" s="467">
        <v>0</v>
      </c>
      <c r="L446" s="466"/>
      <c r="M446" s="466"/>
      <c r="N446" s="466"/>
      <c r="O446" s="482">
        <v>377891</v>
      </c>
      <c r="P446" s="467">
        <v>0</v>
      </c>
      <c r="Q446" s="467">
        <v>0</v>
      </c>
      <c r="R446" s="466"/>
      <c r="S446" s="467"/>
      <c r="T446" s="464">
        <f t="shared" si="45"/>
        <v>0</v>
      </c>
      <c r="U446" s="465">
        <f t="shared" si="44"/>
        <v>0</v>
      </c>
      <c r="V446" s="466"/>
      <c r="W446" s="467">
        <v>0</v>
      </c>
      <c r="X446" s="466"/>
      <c r="Y446" s="467">
        <v>0</v>
      </c>
      <c r="Z446" s="466"/>
      <c r="AA446" s="466"/>
      <c r="AB446" s="466"/>
      <c r="AC446" s="467">
        <v>0</v>
      </c>
      <c r="AD446" s="467">
        <v>0</v>
      </c>
      <c r="AE446" s="467">
        <v>0</v>
      </c>
      <c r="AF446" s="466"/>
      <c r="AG446" s="467"/>
    </row>
    <row r="447" spans="1:33" customFormat="1" ht="15" customHeight="1">
      <c r="A447" s="375" t="s">
        <v>436</v>
      </c>
      <c r="B447" s="373" t="s">
        <v>808</v>
      </c>
      <c r="C447" s="389"/>
      <c r="D447" s="375">
        <v>222576</v>
      </c>
      <c r="E447" s="375">
        <v>8</v>
      </c>
      <c r="F447" s="464">
        <f t="shared" si="41"/>
        <v>0</v>
      </c>
      <c r="G447" s="465">
        <f t="shared" si="42"/>
        <v>166868</v>
      </c>
      <c r="H447" s="466"/>
      <c r="I447" s="482">
        <v>77187</v>
      </c>
      <c r="J447" s="466"/>
      <c r="K447" s="482">
        <v>7069</v>
      </c>
      <c r="L447" s="466"/>
      <c r="M447" s="466"/>
      <c r="N447" s="466"/>
      <c r="O447" s="482">
        <v>82306</v>
      </c>
      <c r="P447" s="482">
        <v>306</v>
      </c>
      <c r="Q447" s="467">
        <v>0</v>
      </c>
      <c r="R447" s="466"/>
      <c r="S447" s="467"/>
      <c r="T447" s="464">
        <f t="shared" si="45"/>
        <v>0</v>
      </c>
      <c r="U447" s="465">
        <f t="shared" si="44"/>
        <v>0</v>
      </c>
      <c r="V447" s="466"/>
      <c r="W447" s="467">
        <v>0</v>
      </c>
      <c r="X447" s="466"/>
      <c r="Y447" s="467">
        <v>0</v>
      </c>
      <c r="Z447" s="466"/>
      <c r="AA447" s="466"/>
      <c r="AB447" s="466"/>
      <c r="AC447" s="467">
        <v>0</v>
      </c>
      <c r="AD447" s="467">
        <v>0</v>
      </c>
      <c r="AE447" s="467">
        <v>0</v>
      </c>
      <c r="AF447" s="466"/>
      <c r="AG447" s="467"/>
    </row>
    <row r="448" spans="1:33" customFormat="1" ht="15" customHeight="1">
      <c r="A448" s="375" t="s">
        <v>436</v>
      </c>
      <c r="B448" s="373" t="s">
        <v>809</v>
      </c>
      <c r="C448" s="389" t="s">
        <v>810</v>
      </c>
      <c r="D448" s="375">
        <v>222992</v>
      </c>
      <c r="E448" s="375">
        <v>8</v>
      </c>
      <c r="F448" s="464">
        <f t="shared" si="41"/>
        <v>0</v>
      </c>
      <c r="G448" s="465">
        <f t="shared" si="42"/>
        <v>722940</v>
      </c>
      <c r="H448" s="466"/>
      <c r="I448" s="482">
        <v>231307</v>
      </c>
      <c r="J448" s="466"/>
      <c r="K448" s="482">
        <v>20846</v>
      </c>
      <c r="L448" s="466"/>
      <c r="M448" s="466"/>
      <c r="N448" s="466"/>
      <c r="O448" s="482">
        <v>470787</v>
      </c>
      <c r="P448" s="467">
        <v>0</v>
      </c>
      <c r="Q448" s="467">
        <v>0</v>
      </c>
      <c r="R448" s="466"/>
      <c r="S448" s="467"/>
      <c r="T448" s="464">
        <f t="shared" si="45"/>
        <v>0</v>
      </c>
      <c r="U448" s="465">
        <f t="shared" si="44"/>
        <v>0</v>
      </c>
      <c r="V448" s="466"/>
      <c r="W448" s="467">
        <v>0</v>
      </c>
      <c r="X448" s="466"/>
      <c r="Y448" s="467">
        <v>0</v>
      </c>
      <c r="Z448" s="466"/>
      <c r="AA448" s="466"/>
      <c r="AB448" s="466"/>
      <c r="AC448" s="467">
        <v>0</v>
      </c>
      <c r="AD448" s="467">
        <v>0</v>
      </c>
      <c r="AE448" s="467">
        <v>0</v>
      </c>
      <c r="AF448" s="466"/>
      <c r="AG448" s="467"/>
    </row>
    <row r="449" spans="1:33" customFormat="1" ht="15" customHeight="1">
      <c r="A449" s="375" t="s">
        <v>436</v>
      </c>
      <c r="B449" s="373" t="s">
        <v>811</v>
      </c>
      <c r="C449" s="389"/>
      <c r="D449" s="375">
        <v>223427</v>
      </c>
      <c r="E449" s="375">
        <v>8</v>
      </c>
      <c r="F449" s="464">
        <f t="shared" si="41"/>
        <v>0</v>
      </c>
      <c r="G449" s="465">
        <f t="shared" si="42"/>
        <v>408413</v>
      </c>
      <c r="H449" s="466"/>
      <c r="I449" s="482">
        <v>25308</v>
      </c>
      <c r="J449" s="466"/>
      <c r="K449" s="482">
        <v>107915</v>
      </c>
      <c r="L449" s="466"/>
      <c r="M449" s="466"/>
      <c r="N449" s="466"/>
      <c r="O449" s="482">
        <v>265522</v>
      </c>
      <c r="P449" s="482">
        <v>9665</v>
      </c>
      <c r="Q449" s="482">
        <v>3</v>
      </c>
      <c r="R449" s="466"/>
      <c r="S449" s="467"/>
      <c r="T449" s="464">
        <f t="shared" si="45"/>
        <v>0</v>
      </c>
      <c r="U449" s="465">
        <f t="shared" si="44"/>
        <v>0</v>
      </c>
      <c r="V449" s="466"/>
      <c r="W449" s="467">
        <v>0</v>
      </c>
      <c r="X449" s="466"/>
      <c r="Y449" s="467">
        <v>0</v>
      </c>
      <c r="Z449" s="466"/>
      <c r="AA449" s="466"/>
      <c r="AB449" s="466"/>
      <c r="AC449" s="467">
        <v>0</v>
      </c>
      <c r="AD449" s="467">
        <v>0</v>
      </c>
      <c r="AE449" s="467">
        <v>0</v>
      </c>
      <c r="AF449" s="466"/>
      <c r="AG449" s="467"/>
    </row>
    <row r="450" spans="1:33" customFormat="1" ht="15" customHeight="1">
      <c r="A450" s="375" t="s">
        <v>436</v>
      </c>
      <c r="B450" s="373" t="s">
        <v>812</v>
      </c>
      <c r="C450" s="462" t="s">
        <v>920</v>
      </c>
      <c r="D450" s="375">
        <v>223524</v>
      </c>
      <c r="E450" s="375">
        <v>8</v>
      </c>
      <c r="F450" s="464">
        <f t="shared" si="41"/>
        <v>0</v>
      </c>
      <c r="G450" s="465">
        <f t="shared" si="42"/>
        <v>135968</v>
      </c>
      <c r="H450" s="466"/>
      <c r="I450" s="482">
        <v>50660</v>
      </c>
      <c r="J450" s="466"/>
      <c r="K450" s="482">
        <v>4186</v>
      </c>
      <c r="L450" s="466"/>
      <c r="M450" s="466"/>
      <c r="N450" s="466"/>
      <c r="O450" s="482">
        <v>81122</v>
      </c>
      <c r="P450" s="467">
        <v>0</v>
      </c>
      <c r="Q450" s="467">
        <v>0</v>
      </c>
      <c r="R450" s="466"/>
      <c r="S450" s="467"/>
      <c r="T450" s="464">
        <f t="shared" si="45"/>
        <v>0</v>
      </c>
      <c r="U450" s="465">
        <f t="shared" si="44"/>
        <v>0</v>
      </c>
      <c r="V450" s="466"/>
      <c r="W450" s="467">
        <v>0</v>
      </c>
      <c r="X450" s="466"/>
      <c r="Y450" s="467">
        <v>0</v>
      </c>
      <c r="Z450" s="466"/>
      <c r="AA450" s="466"/>
      <c r="AB450" s="466"/>
      <c r="AC450" s="467">
        <v>0</v>
      </c>
      <c r="AD450" s="467">
        <v>0</v>
      </c>
      <c r="AE450" s="467">
        <v>0</v>
      </c>
      <c r="AF450" s="466"/>
      <c r="AG450" s="467"/>
    </row>
    <row r="451" spans="1:33" customFormat="1" ht="15" customHeight="1">
      <c r="A451" s="375" t="s">
        <v>436</v>
      </c>
      <c r="B451" s="373" t="s">
        <v>813</v>
      </c>
      <c r="C451" s="389"/>
      <c r="D451" s="375">
        <v>223816</v>
      </c>
      <c r="E451" s="375">
        <v>8</v>
      </c>
      <c r="F451" s="464">
        <f t="shared" si="41"/>
        <v>0</v>
      </c>
      <c r="G451" s="465">
        <f t="shared" si="42"/>
        <v>201609</v>
      </c>
      <c r="H451" s="466"/>
      <c r="I451" s="482">
        <v>32259</v>
      </c>
      <c r="J451" s="466"/>
      <c r="K451" s="482">
        <v>13078</v>
      </c>
      <c r="L451" s="466"/>
      <c r="M451" s="466"/>
      <c r="N451" s="466"/>
      <c r="O451" s="482">
        <v>136438</v>
      </c>
      <c r="P451" s="482">
        <v>19647</v>
      </c>
      <c r="Q451" s="482">
        <v>187</v>
      </c>
      <c r="R451" s="466"/>
      <c r="S451" s="467"/>
      <c r="T451" s="464">
        <f t="shared" si="45"/>
        <v>0</v>
      </c>
      <c r="U451" s="465">
        <f t="shared" si="44"/>
        <v>0</v>
      </c>
      <c r="V451" s="466"/>
      <c r="W451" s="467">
        <v>0</v>
      </c>
      <c r="X451" s="466"/>
      <c r="Y451" s="467">
        <v>0</v>
      </c>
      <c r="Z451" s="466"/>
      <c r="AA451" s="466"/>
      <c r="AB451" s="466"/>
      <c r="AC451" s="467">
        <v>0</v>
      </c>
      <c r="AD451" s="467">
        <v>0</v>
      </c>
      <c r="AE451" s="467">
        <v>0</v>
      </c>
      <c r="AF451" s="466"/>
      <c r="AG451" s="467"/>
    </row>
    <row r="452" spans="1:33" customFormat="1" ht="15" customHeight="1">
      <c r="A452" s="375" t="s">
        <v>436</v>
      </c>
      <c r="B452" s="373" t="s">
        <v>814</v>
      </c>
      <c r="C452" s="389"/>
      <c r="D452" s="375">
        <v>247834</v>
      </c>
      <c r="E452" s="375">
        <v>8</v>
      </c>
      <c r="F452" s="464">
        <f t="shared" si="41"/>
        <v>0</v>
      </c>
      <c r="G452" s="465">
        <f t="shared" si="42"/>
        <v>640606</v>
      </c>
      <c r="H452" s="466"/>
      <c r="I452" s="482">
        <v>208802</v>
      </c>
      <c r="J452" s="466"/>
      <c r="K452" s="482">
        <v>41879</v>
      </c>
      <c r="L452" s="466"/>
      <c r="M452" s="466"/>
      <c r="N452" s="466"/>
      <c r="O452" s="482">
        <v>389835</v>
      </c>
      <c r="P452" s="467">
        <v>0</v>
      </c>
      <c r="Q452" s="482">
        <v>90</v>
      </c>
      <c r="R452" s="466"/>
      <c r="S452" s="467"/>
      <c r="T452" s="464">
        <f t="shared" si="45"/>
        <v>0</v>
      </c>
      <c r="U452" s="465">
        <f t="shared" si="44"/>
        <v>0</v>
      </c>
      <c r="V452" s="466"/>
      <c r="W452" s="467">
        <v>0</v>
      </c>
      <c r="X452" s="466"/>
      <c r="Y452" s="467">
        <v>0</v>
      </c>
      <c r="Z452" s="466"/>
      <c r="AA452" s="466"/>
      <c r="AB452" s="466"/>
      <c r="AC452" s="467">
        <v>0</v>
      </c>
      <c r="AD452" s="467">
        <v>0</v>
      </c>
      <c r="AE452" s="467">
        <v>0</v>
      </c>
      <c r="AF452" s="466"/>
      <c r="AG452" s="467"/>
    </row>
    <row r="453" spans="1:33" customFormat="1" ht="15" customHeight="1">
      <c r="A453" s="375" t="s">
        <v>436</v>
      </c>
      <c r="B453" s="373" t="s">
        <v>815</v>
      </c>
      <c r="C453" s="389"/>
      <c r="D453" s="375">
        <v>224350</v>
      </c>
      <c r="E453" s="375">
        <v>8</v>
      </c>
      <c r="F453" s="464">
        <f t="shared" si="41"/>
        <v>0</v>
      </c>
      <c r="G453" s="465">
        <f t="shared" si="42"/>
        <v>193052</v>
      </c>
      <c r="H453" s="466"/>
      <c r="I453" s="482">
        <v>95810</v>
      </c>
      <c r="J453" s="466"/>
      <c r="K453" s="482">
        <v>4207</v>
      </c>
      <c r="L453" s="466"/>
      <c r="M453" s="466"/>
      <c r="N453" s="466"/>
      <c r="O453" s="482">
        <v>91076</v>
      </c>
      <c r="P453" s="482">
        <v>1959</v>
      </c>
      <c r="Q453" s="467">
        <v>0</v>
      </c>
      <c r="R453" s="466"/>
      <c r="S453" s="467"/>
      <c r="T453" s="464">
        <f t="shared" si="45"/>
        <v>0</v>
      </c>
      <c r="U453" s="465">
        <f t="shared" si="44"/>
        <v>0</v>
      </c>
      <c r="V453" s="466"/>
      <c r="W453" s="467">
        <v>0</v>
      </c>
      <c r="X453" s="466"/>
      <c r="Y453" s="467">
        <v>0</v>
      </c>
      <c r="Z453" s="466"/>
      <c r="AA453" s="466"/>
      <c r="AB453" s="466"/>
      <c r="AC453" s="467">
        <v>0</v>
      </c>
      <c r="AD453" s="467">
        <v>0</v>
      </c>
      <c r="AE453" s="467">
        <v>0</v>
      </c>
      <c r="AF453" s="466"/>
      <c r="AG453" s="467"/>
    </row>
    <row r="454" spans="1:33" customFormat="1" ht="15" customHeight="1">
      <c r="A454" s="375" t="s">
        <v>436</v>
      </c>
      <c r="B454" s="373" t="s">
        <v>816</v>
      </c>
      <c r="C454" s="389"/>
      <c r="D454" s="375">
        <v>224572</v>
      </c>
      <c r="E454" s="375">
        <v>8</v>
      </c>
      <c r="F454" s="464">
        <f t="shared" si="41"/>
        <v>0</v>
      </c>
      <c r="G454" s="465">
        <f t="shared" si="42"/>
        <v>193615</v>
      </c>
      <c r="H454" s="466"/>
      <c r="I454" s="482">
        <v>70359</v>
      </c>
      <c r="J454" s="466"/>
      <c r="K454" s="482">
        <v>21301</v>
      </c>
      <c r="L454" s="466"/>
      <c r="M454" s="466"/>
      <c r="N454" s="466"/>
      <c r="O454" s="482">
        <v>101834</v>
      </c>
      <c r="P454" s="467">
        <v>0</v>
      </c>
      <c r="Q454" s="482">
        <v>121</v>
      </c>
      <c r="R454" s="466"/>
      <c r="S454" s="467"/>
      <c r="T454" s="464">
        <f t="shared" si="45"/>
        <v>0</v>
      </c>
      <c r="U454" s="465">
        <f t="shared" si="44"/>
        <v>0</v>
      </c>
      <c r="V454" s="466"/>
      <c r="W454" s="467">
        <v>0</v>
      </c>
      <c r="X454" s="466"/>
      <c r="Y454" s="467">
        <v>0</v>
      </c>
      <c r="Z454" s="466"/>
      <c r="AA454" s="466"/>
      <c r="AB454" s="466"/>
      <c r="AC454" s="467">
        <v>0</v>
      </c>
      <c r="AD454" s="467">
        <v>0</v>
      </c>
      <c r="AE454" s="467">
        <v>0</v>
      </c>
      <c r="AF454" s="466"/>
      <c r="AG454" s="467"/>
    </row>
    <row r="455" spans="1:33" customFormat="1" ht="15" customHeight="1">
      <c r="A455" s="375" t="s">
        <v>436</v>
      </c>
      <c r="B455" s="373" t="s">
        <v>817</v>
      </c>
      <c r="C455" s="389"/>
      <c r="D455" s="375">
        <v>224615</v>
      </c>
      <c r="E455" s="375">
        <v>8</v>
      </c>
      <c r="F455" s="464">
        <f t="shared" si="41"/>
        <v>0</v>
      </c>
      <c r="G455" s="465">
        <f t="shared" si="42"/>
        <v>107210</v>
      </c>
      <c r="H455" s="466"/>
      <c r="I455" s="482">
        <v>39319</v>
      </c>
      <c r="J455" s="466"/>
      <c r="K455" s="482">
        <v>7960</v>
      </c>
      <c r="L455" s="466"/>
      <c r="M455" s="466"/>
      <c r="N455" s="466"/>
      <c r="O455" s="482">
        <v>59931</v>
      </c>
      <c r="P455" s="467">
        <v>0</v>
      </c>
      <c r="Q455" s="467">
        <v>0</v>
      </c>
      <c r="R455" s="466"/>
      <c r="S455" s="467"/>
      <c r="T455" s="464">
        <f t="shared" si="45"/>
        <v>0</v>
      </c>
      <c r="U455" s="465">
        <f t="shared" si="44"/>
        <v>0</v>
      </c>
      <c r="V455" s="466"/>
      <c r="W455" s="467">
        <v>0</v>
      </c>
      <c r="X455" s="466"/>
      <c r="Y455" s="467">
        <v>0</v>
      </c>
      <c r="Z455" s="466"/>
      <c r="AA455" s="466"/>
      <c r="AB455" s="466"/>
      <c r="AC455" s="467">
        <v>0</v>
      </c>
      <c r="AD455" s="467">
        <v>0</v>
      </c>
      <c r="AE455" s="467">
        <v>0</v>
      </c>
      <c r="AF455" s="466"/>
      <c r="AG455" s="467"/>
    </row>
    <row r="456" spans="1:33" customFormat="1" ht="15" customHeight="1">
      <c r="A456" s="375" t="s">
        <v>436</v>
      </c>
      <c r="B456" s="373" t="s">
        <v>818</v>
      </c>
      <c r="C456" s="389"/>
      <c r="D456" s="375">
        <v>224642</v>
      </c>
      <c r="E456" s="375">
        <v>8</v>
      </c>
      <c r="F456" s="464">
        <f t="shared" si="41"/>
        <v>0</v>
      </c>
      <c r="G456" s="465">
        <f t="shared" si="42"/>
        <v>489541</v>
      </c>
      <c r="H456" s="466"/>
      <c r="I456" s="482">
        <v>144491</v>
      </c>
      <c r="J456" s="466"/>
      <c r="K456" s="482">
        <v>34137</v>
      </c>
      <c r="L456" s="466"/>
      <c r="M456" s="466"/>
      <c r="N456" s="466"/>
      <c r="O456" s="482">
        <v>310913</v>
      </c>
      <c r="P456" s="467">
        <v>0</v>
      </c>
      <c r="Q456" s="467">
        <v>0</v>
      </c>
      <c r="R456" s="466"/>
      <c r="S456" s="467"/>
      <c r="T456" s="464">
        <f t="shared" si="45"/>
        <v>0</v>
      </c>
      <c r="U456" s="465">
        <f t="shared" si="44"/>
        <v>0</v>
      </c>
      <c r="V456" s="466"/>
      <c r="W456" s="467">
        <v>0</v>
      </c>
      <c r="X456" s="466"/>
      <c r="Y456" s="467">
        <v>0</v>
      </c>
      <c r="Z456" s="466"/>
      <c r="AA456" s="466"/>
      <c r="AB456" s="466"/>
      <c r="AC456" s="467">
        <v>0</v>
      </c>
      <c r="AD456" s="467">
        <v>0</v>
      </c>
      <c r="AE456" s="467">
        <v>0</v>
      </c>
      <c r="AF456" s="466"/>
      <c r="AG456" s="467"/>
    </row>
    <row r="457" spans="1:33" customFormat="1" ht="15" customHeight="1">
      <c r="A457" s="435" t="s">
        <v>436</v>
      </c>
      <c r="B457" s="373" t="s">
        <v>819</v>
      </c>
      <c r="C457" s="389"/>
      <c r="D457" s="375">
        <v>225423</v>
      </c>
      <c r="E457" s="375">
        <v>8</v>
      </c>
      <c r="F457" s="464">
        <f t="shared" si="41"/>
        <v>0</v>
      </c>
      <c r="G457" s="465">
        <f t="shared" si="42"/>
        <v>955174</v>
      </c>
      <c r="H457" s="466"/>
      <c r="I457" s="482">
        <v>223918</v>
      </c>
      <c r="J457" s="466"/>
      <c r="K457" s="482">
        <v>75957</v>
      </c>
      <c r="L457" s="466"/>
      <c r="M457" s="466"/>
      <c r="N457" s="466"/>
      <c r="O457" s="482">
        <v>655299</v>
      </c>
      <c r="P457" s="467">
        <v>0</v>
      </c>
      <c r="Q457" s="467">
        <v>0</v>
      </c>
      <c r="R457" s="466"/>
      <c r="S457" s="467"/>
      <c r="T457" s="464">
        <f t="shared" si="45"/>
        <v>0</v>
      </c>
      <c r="U457" s="465">
        <f t="shared" si="44"/>
        <v>0</v>
      </c>
      <c r="V457" s="466"/>
      <c r="W457" s="467">
        <v>0</v>
      </c>
      <c r="X457" s="466"/>
      <c r="Y457" s="467">
        <v>0</v>
      </c>
      <c r="Z457" s="466"/>
      <c r="AA457" s="466"/>
      <c r="AB457" s="466"/>
      <c r="AC457" s="467">
        <v>0</v>
      </c>
      <c r="AD457" s="467">
        <v>0</v>
      </c>
      <c r="AE457" s="467">
        <v>0</v>
      </c>
      <c r="AF457" s="466"/>
      <c r="AG457" s="467"/>
    </row>
    <row r="458" spans="1:33" customFormat="1" ht="15" customHeight="1">
      <c r="A458" s="435" t="s">
        <v>436</v>
      </c>
      <c r="B458" s="373" t="s">
        <v>820</v>
      </c>
      <c r="C458" s="389"/>
      <c r="D458" s="375">
        <v>226134</v>
      </c>
      <c r="E458" s="375">
        <v>8</v>
      </c>
      <c r="F458" s="464">
        <f t="shared" si="41"/>
        <v>0</v>
      </c>
      <c r="G458" s="465">
        <f t="shared" si="42"/>
        <v>145391</v>
      </c>
      <c r="H458" s="466"/>
      <c r="I458" s="482">
        <v>47717</v>
      </c>
      <c r="J458" s="466"/>
      <c r="K458" s="482">
        <v>23119</v>
      </c>
      <c r="L458" s="466"/>
      <c r="M458" s="466"/>
      <c r="N458" s="466"/>
      <c r="O458" s="482">
        <v>74246</v>
      </c>
      <c r="P458" s="482">
        <v>309</v>
      </c>
      <c r="Q458" s="467">
        <v>0</v>
      </c>
      <c r="R458" s="466"/>
      <c r="S458" s="467"/>
      <c r="T458" s="464">
        <f t="shared" si="45"/>
        <v>0</v>
      </c>
      <c r="U458" s="465">
        <f t="shared" si="44"/>
        <v>0</v>
      </c>
      <c r="V458" s="466"/>
      <c r="W458" s="467">
        <v>0</v>
      </c>
      <c r="X458" s="466"/>
      <c r="Y458" s="467">
        <v>0</v>
      </c>
      <c r="Z458" s="466"/>
      <c r="AA458" s="466"/>
      <c r="AB458" s="466"/>
      <c r="AC458" s="467">
        <v>0</v>
      </c>
      <c r="AD458" s="467">
        <v>0</v>
      </c>
      <c r="AE458" s="467">
        <v>0</v>
      </c>
      <c r="AF458" s="466"/>
      <c r="AG458" s="467"/>
    </row>
    <row r="459" spans="1:33" customFormat="1" ht="15" customHeight="1">
      <c r="A459" s="435" t="s">
        <v>436</v>
      </c>
      <c r="B459" s="373" t="s">
        <v>821</v>
      </c>
      <c r="C459" s="389"/>
      <c r="D459" s="375">
        <v>227182</v>
      </c>
      <c r="E459" s="375">
        <v>8</v>
      </c>
      <c r="F459" s="464">
        <f t="shared" si="41"/>
        <v>0</v>
      </c>
      <c r="G459" s="465">
        <f t="shared" si="42"/>
        <v>1236648</v>
      </c>
      <c r="H459" s="466"/>
      <c r="I459" s="482">
        <v>314472</v>
      </c>
      <c r="J459" s="466"/>
      <c r="K459" s="482">
        <v>90811</v>
      </c>
      <c r="L459" s="466"/>
      <c r="M459" s="466"/>
      <c r="N459" s="466"/>
      <c r="O459" s="482">
        <v>831365</v>
      </c>
      <c r="P459" s="467">
        <v>0</v>
      </c>
      <c r="Q459" s="467">
        <v>0</v>
      </c>
      <c r="R459" s="466"/>
      <c r="S459" s="467"/>
      <c r="T459" s="464">
        <f t="shared" si="45"/>
        <v>0</v>
      </c>
      <c r="U459" s="465">
        <f t="shared" si="44"/>
        <v>0</v>
      </c>
      <c r="V459" s="466"/>
      <c r="W459" s="467">
        <v>0</v>
      </c>
      <c r="X459" s="466"/>
      <c r="Y459" s="467">
        <v>0</v>
      </c>
      <c r="Z459" s="466"/>
      <c r="AA459" s="466"/>
      <c r="AB459" s="466"/>
      <c r="AC459" s="467">
        <v>0</v>
      </c>
      <c r="AD459" s="467">
        <v>0</v>
      </c>
      <c r="AE459" s="467">
        <v>0</v>
      </c>
      <c r="AF459" s="466"/>
      <c r="AG459" s="467"/>
    </row>
    <row r="460" spans="1:33" customFormat="1" ht="15" customHeight="1">
      <c r="A460" s="435" t="s">
        <v>436</v>
      </c>
      <c r="B460" s="373" t="s">
        <v>822</v>
      </c>
      <c r="C460" s="389"/>
      <c r="D460" s="375">
        <v>226578</v>
      </c>
      <c r="E460" s="375">
        <v>8</v>
      </c>
      <c r="F460" s="464">
        <f t="shared" si="41"/>
        <v>0</v>
      </c>
      <c r="G460" s="465">
        <f t="shared" si="42"/>
        <v>168316</v>
      </c>
      <c r="H460" s="466"/>
      <c r="I460" s="482">
        <v>41760</v>
      </c>
      <c r="J460" s="466"/>
      <c r="K460" s="467">
        <v>0</v>
      </c>
      <c r="L460" s="466"/>
      <c r="M460" s="466"/>
      <c r="N460" s="466"/>
      <c r="O460" s="482">
        <v>126385</v>
      </c>
      <c r="P460" s="482">
        <v>171</v>
      </c>
      <c r="Q460" s="467">
        <v>0</v>
      </c>
      <c r="R460" s="466"/>
      <c r="S460" s="467"/>
      <c r="T460" s="464">
        <f t="shared" si="45"/>
        <v>0</v>
      </c>
      <c r="U460" s="465">
        <f t="shared" si="44"/>
        <v>0</v>
      </c>
      <c r="V460" s="466"/>
      <c r="W460" s="467">
        <v>0</v>
      </c>
      <c r="X460" s="466"/>
      <c r="Y460" s="467">
        <v>0</v>
      </c>
      <c r="Z460" s="466"/>
      <c r="AA460" s="466"/>
      <c r="AB460" s="466"/>
      <c r="AC460" s="467">
        <v>0</v>
      </c>
      <c r="AD460" s="467">
        <v>0</v>
      </c>
      <c r="AE460" s="467">
        <v>0</v>
      </c>
      <c r="AF460" s="466"/>
      <c r="AG460" s="467"/>
    </row>
    <row r="461" spans="1:33" customFormat="1" ht="15" customHeight="1">
      <c r="A461" s="435" t="s">
        <v>436</v>
      </c>
      <c r="B461" s="373" t="s">
        <v>823</v>
      </c>
      <c r="C461" s="376"/>
      <c r="D461" s="375">
        <v>226930</v>
      </c>
      <c r="E461" s="375">
        <v>8</v>
      </c>
      <c r="F461" s="464">
        <f t="shared" si="41"/>
        <v>0</v>
      </c>
      <c r="G461" s="465">
        <f t="shared" si="42"/>
        <v>119701</v>
      </c>
      <c r="H461" s="466"/>
      <c r="I461" s="482">
        <v>45733</v>
      </c>
      <c r="J461" s="466"/>
      <c r="K461" s="482">
        <v>6261</v>
      </c>
      <c r="L461" s="466"/>
      <c r="M461" s="466"/>
      <c r="N461" s="466"/>
      <c r="O461" s="482">
        <v>67707</v>
      </c>
      <c r="P461" s="467">
        <v>0</v>
      </c>
      <c r="Q461" s="467">
        <v>0</v>
      </c>
      <c r="R461" s="466"/>
      <c r="S461" s="467"/>
      <c r="T461" s="464">
        <f t="shared" si="45"/>
        <v>0</v>
      </c>
      <c r="U461" s="465">
        <f t="shared" si="44"/>
        <v>0</v>
      </c>
      <c r="V461" s="466"/>
      <c r="W461" s="467">
        <v>0</v>
      </c>
      <c r="X461" s="466"/>
      <c r="Y461" s="467">
        <v>0</v>
      </c>
      <c r="Z461" s="466"/>
      <c r="AA461" s="466"/>
      <c r="AB461" s="466"/>
      <c r="AC461" s="467">
        <v>0</v>
      </c>
      <c r="AD461" s="467">
        <v>0</v>
      </c>
      <c r="AE461" s="467">
        <v>0</v>
      </c>
      <c r="AF461" s="466"/>
      <c r="AG461" s="467"/>
    </row>
    <row r="462" spans="1:33" customFormat="1" ht="15" customHeight="1">
      <c r="A462" s="435" t="s">
        <v>436</v>
      </c>
      <c r="B462" s="373" t="s">
        <v>824</v>
      </c>
      <c r="C462" s="389"/>
      <c r="D462" s="375">
        <v>227146</v>
      </c>
      <c r="E462" s="375">
        <v>8</v>
      </c>
      <c r="F462" s="464">
        <f t="shared" si="41"/>
        <v>0</v>
      </c>
      <c r="G462" s="465">
        <f t="shared" si="42"/>
        <v>151825</v>
      </c>
      <c r="H462" s="466"/>
      <c r="I462" s="482">
        <v>35423</v>
      </c>
      <c r="J462" s="466"/>
      <c r="K462" s="482">
        <v>54239</v>
      </c>
      <c r="L462" s="466"/>
      <c r="M462" s="466"/>
      <c r="N462" s="466"/>
      <c r="O462" s="482">
        <v>62163</v>
      </c>
      <c r="P462" s="467">
        <v>0</v>
      </c>
      <c r="Q462" s="467">
        <v>0</v>
      </c>
      <c r="R462" s="466"/>
      <c r="S462" s="467"/>
      <c r="T462" s="464">
        <f t="shared" si="45"/>
        <v>0</v>
      </c>
      <c r="U462" s="465">
        <f t="shared" si="44"/>
        <v>0</v>
      </c>
      <c r="V462" s="466"/>
      <c r="W462" s="467">
        <v>0</v>
      </c>
      <c r="X462" s="466"/>
      <c r="Y462" s="467">
        <v>0</v>
      </c>
      <c r="Z462" s="466"/>
      <c r="AA462" s="466"/>
      <c r="AB462" s="466"/>
      <c r="AC462" s="467">
        <v>0</v>
      </c>
      <c r="AD462" s="467">
        <v>0</v>
      </c>
      <c r="AE462" s="467">
        <v>0</v>
      </c>
      <c r="AF462" s="466"/>
      <c r="AG462" s="467"/>
    </row>
    <row r="463" spans="1:33" customFormat="1" ht="15" customHeight="1">
      <c r="A463" s="435" t="s">
        <v>436</v>
      </c>
      <c r="B463" s="373" t="s">
        <v>825</v>
      </c>
      <c r="C463" s="389"/>
      <c r="D463" s="375">
        <v>224110</v>
      </c>
      <c r="E463" s="375">
        <v>8</v>
      </c>
      <c r="F463" s="464">
        <f t="shared" si="41"/>
        <v>0</v>
      </c>
      <c r="G463" s="465">
        <f t="shared" si="42"/>
        <v>168484</v>
      </c>
      <c r="H463" s="466"/>
      <c r="I463" s="482">
        <v>12104</v>
      </c>
      <c r="J463" s="466"/>
      <c r="K463" s="482">
        <v>42060</v>
      </c>
      <c r="L463" s="466"/>
      <c r="M463" s="466"/>
      <c r="N463" s="466"/>
      <c r="O463" s="482">
        <v>114155</v>
      </c>
      <c r="P463" s="482">
        <v>150</v>
      </c>
      <c r="Q463" s="482">
        <v>15</v>
      </c>
      <c r="R463" s="466"/>
      <c r="S463" s="467"/>
      <c r="T463" s="464">
        <f t="shared" si="45"/>
        <v>0</v>
      </c>
      <c r="U463" s="465">
        <f t="shared" si="44"/>
        <v>0</v>
      </c>
      <c r="V463" s="466"/>
      <c r="W463" s="467">
        <v>0</v>
      </c>
      <c r="X463" s="466"/>
      <c r="Y463" s="467">
        <v>0</v>
      </c>
      <c r="Z463" s="466"/>
      <c r="AA463" s="466"/>
      <c r="AB463" s="466"/>
      <c r="AC463" s="467">
        <v>0</v>
      </c>
      <c r="AD463" s="467">
        <v>0</v>
      </c>
      <c r="AE463" s="467">
        <v>0</v>
      </c>
      <c r="AF463" s="466"/>
      <c r="AG463" s="467"/>
    </row>
    <row r="464" spans="1:33" customFormat="1" ht="15" customHeight="1">
      <c r="A464" s="435" t="s">
        <v>436</v>
      </c>
      <c r="B464" s="373" t="s">
        <v>826</v>
      </c>
      <c r="C464" s="389"/>
      <c r="D464" s="375">
        <v>227191</v>
      </c>
      <c r="E464" s="375">
        <v>8</v>
      </c>
      <c r="F464" s="464">
        <f t="shared" si="41"/>
        <v>0</v>
      </c>
      <c r="G464" s="465">
        <f t="shared" si="42"/>
        <v>123876</v>
      </c>
      <c r="H464" s="466"/>
      <c r="I464" s="482">
        <v>39947</v>
      </c>
      <c r="J464" s="466"/>
      <c r="K464" s="482">
        <v>2483</v>
      </c>
      <c r="L464" s="466"/>
      <c r="M464" s="466"/>
      <c r="N464" s="466"/>
      <c r="O464" s="482">
        <v>81446</v>
      </c>
      <c r="P464" s="467">
        <v>0</v>
      </c>
      <c r="Q464" s="467">
        <v>0</v>
      </c>
      <c r="R464" s="466"/>
      <c r="S464" s="467"/>
      <c r="T464" s="464">
        <f t="shared" si="45"/>
        <v>0</v>
      </c>
      <c r="U464" s="465">
        <f t="shared" si="44"/>
        <v>0</v>
      </c>
      <c r="V464" s="466"/>
      <c r="W464" s="467">
        <v>0</v>
      </c>
      <c r="X464" s="466"/>
      <c r="Y464" s="467">
        <v>0</v>
      </c>
      <c r="Z464" s="466"/>
      <c r="AA464" s="466"/>
      <c r="AB464" s="466"/>
      <c r="AC464" s="467">
        <v>0</v>
      </c>
      <c r="AD464" s="467">
        <v>0</v>
      </c>
      <c r="AE464" s="467">
        <v>0</v>
      </c>
      <c r="AF464" s="466"/>
      <c r="AG464" s="467"/>
    </row>
    <row r="465" spans="1:33" customFormat="1" ht="15" customHeight="1">
      <c r="A465" s="435" t="s">
        <v>436</v>
      </c>
      <c r="B465" s="373" t="s">
        <v>827</v>
      </c>
      <c r="C465" s="389"/>
      <c r="D465" s="375">
        <v>420398</v>
      </c>
      <c r="E465" s="375">
        <v>8</v>
      </c>
      <c r="F465" s="464">
        <f t="shared" ref="F465:F528" si="46">SUM(H465,J465,L465,M465,N465,R465)</f>
        <v>0</v>
      </c>
      <c r="G465" s="465">
        <f t="shared" ref="G465:G528" si="47">SUM(I465,K465,O465,P465,Q465,S465)</f>
        <v>286134</v>
      </c>
      <c r="H465" s="466"/>
      <c r="I465" s="482">
        <v>153586</v>
      </c>
      <c r="J465" s="466"/>
      <c r="K465" s="482">
        <v>41752</v>
      </c>
      <c r="L465" s="466"/>
      <c r="M465" s="466"/>
      <c r="N465" s="466"/>
      <c r="O465" s="482">
        <v>90796</v>
      </c>
      <c r="P465" s="467">
        <v>0</v>
      </c>
      <c r="Q465" s="467">
        <v>0</v>
      </c>
      <c r="R465" s="466"/>
      <c r="S465" s="467"/>
      <c r="T465" s="464">
        <f t="shared" si="45"/>
        <v>0</v>
      </c>
      <c r="U465" s="465">
        <f t="shared" ref="U465:U528" si="48">SUM(W465,Y465,AC465,AD465,AE465,AG465)</f>
        <v>0</v>
      </c>
      <c r="V465" s="466"/>
      <c r="W465" s="467">
        <v>0</v>
      </c>
      <c r="X465" s="466"/>
      <c r="Y465" s="467">
        <v>0</v>
      </c>
      <c r="Z465" s="466"/>
      <c r="AA465" s="466"/>
      <c r="AB465" s="466"/>
      <c r="AC465" s="467">
        <v>0</v>
      </c>
      <c r="AD465" s="467">
        <v>0</v>
      </c>
      <c r="AE465" s="467">
        <v>0</v>
      </c>
      <c r="AF465" s="466"/>
      <c r="AG465" s="467"/>
    </row>
    <row r="466" spans="1:33" customFormat="1" ht="15" customHeight="1">
      <c r="A466" s="435" t="s">
        <v>436</v>
      </c>
      <c r="B466" s="373" t="s">
        <v>828</v>
      </c>
      <c r="C466" s="389"/>
      <c r="D466" s="375">
        <v>246354</v>
      </c>
      <c r="E466" s="375">
        <v>8</v>
      </c>
      <c r="F466" s="464">
        <f t="shared" si="46"/>
        <v>0</v>
      </c>
      <c r="G466" s="465">
        <f t="shared" si="47"/>
        <v>163134</v>
      </c>
      <c r="H466" s="466"/>
      <c r="I466" s="482">
        <v>77970</v>
      </c>
      <c r="J466" s="466"/>
      <c r="K466" s="482">
        <v>10838</v>
      </c>
      <c r="L466" s="466"/>
      <c r="M466" s="466"/>
      <c r="N466" s="466"/>
      <c r="O466" s="482">
        <v>74326</v>
      </c>
      <c r="P466" s="467">
        <v>0</v>
      </c>
      <c r="Q466" s="467">
        <v>0</v>
      </c>
      <c r="R466" s="466"/>
      <c r="S466" s="467"/>
      <c r="T466" s="464">
        <f t="shared" si="45"/>
        <v>0</v>
      </c>
      <c r="U466" s="465">
        <f t="shared" si="48"/>
        <v>0</v>
      </c>
      <c r="V466" s="466"/>
      <c r="W466" s="467">
        <v>0</v>
      </c>
      <c r="X466" s="466"/>
      <c r="Y466" s="467">
        <v>0</v>
      </c>
      <c r="Z466" s="466"/>
      <c r="AA466" s="466"/>
      <c r="AB466" s="466"/>
      <c r="AC466" s="467">
        <v>0</v>
      </c>
      <c r="AD466" s="467">
        <v>0</v>
      </c>
      <c r="AE466" s="467">
        <v>0</v>
      </c>
      <c r="AF466" s="466"/>
      <c r="AG466" s="467"/>
    </row>
    <row r="467" spans="1:33" customFormat="1" ht="15" customHeight="1">
      <c r="A467" s="435" t="s">
        <v>436</v>
      </c>
      <c r="B467" s="373" t="s">
        <v>829</v>
      </c>
      <c r="C467" s="389"/>
      <c r="D467" s="375">
        <v>227766</v>
      </c>
      <c r="E467" s="375">
        <v>8</v>
      </c>
      <c r="F467" s="464">
        <f t="shared" si="46"/>
        <v>0</v>
      </c>
      <c r="G467" s="465">
        <f t="shared" si="47"/>
        <v>220780</v>
      </c>
      <c r="H467" s="466"/>
      <c r="I467" s="482">
        <v>79724</v>
      </c>
      <c r="J467" s="466"/>
      <c r="K467" s="482">
        <v>13223</v>
      </c>
      <c r="L467" s="466"/>
      <c r="M467" s="466"/>
      <c r="N467" s="466"/>
      <c r="O467" s="482">
        <v>127833</v>
      </c>
      <c r="P467" s="467">
        <v>0</v>
      </c>
      <c r="Q467" s="467">
        <v>0</v>
      </c>
      <c r="R467" s="466"/>
      <c r="S467" s="467"/>
      <c r="T467" s="464">
        <f t="shared" si="45"/>
        <v>0</v>
      </c>
      <c r="U467" s="465">
        <f t="shared" si="48"/>
        <v>0</v>
      </c>
      <c r="V467" s="466"/>
      <c r="W467" s="467">
        <v>0</v>
      </c>
      <c r="X467" s="466"/>
      <c r="Y467" s="467">
        <v>0</v>
      </c>
      <c r="Z467" s="466"/>
      <c r="AA467" s="466"/>
      <c r="AB467" s="466"/>
      <c r="AC467" s="467">
        <v>0</v>
      </c>
      <c r="AD467" s="467">
        <v>0</v>
      </c>
      <c r="AE467" s="467">
        <v>0</v>
      </c>
      <c r="AF467" s="466"/>
      <c r="AG467" s="467"/>
    </row>
    <row r="468" spans="1:33" customFormat="1" ht="15" customHeight="1">
      <c r="A468" s="435" t="s">
        <v>436</v>
      </c>
      <c r="B468" s="373" t="s">
        <v>830</v>
      </c>
      <c r="C468" s="389"/>
      <c r="D468" s="375">
        <v>227924</v>
      </c>
      <c r="E468" s="375">
        <v>8</v>
      </c>
      <c r="F468" s="464">
        <f t="shared" si="46"/>
        <v>0</v>
      </c>
      <c r="G468" s="465">
        <f t="shared" si="47"/>
        <v>303452</v>
      </c>
      <c r="H468" s="466"/>
      <c r="I468" s="482">
        <v>160935</v>
      </c>
      <c r="J468" s="466"/>
      <c r="K468" s="482">
        <v>15653</v>
      </c>
      <c r="L468" s="466"/>
      <c r="M468" s="466"/>
      <c r="N468" s="466"/>
      <c r="O468" s="482">
        <v>126864</v>
      </c>
      <c r="P468" s="467">
        <v>0</v>
      </c>
      <c r="Q468" s="467">
        <v>0</v>
      </c>
      <c r="R468" s="466"/>
      <c r="S468" s="467"/>
      <c r="T468" s="464">
        <f t="shared" si="45"/>
        <v>0</v>
      </c>
      <c r="U468" s="465">
        <f t="shared" si="48"/>
        <v>0</v>
      </c>
      <c r="V468" s="466"/>
      <c r="W468" s="467">
        <v>0</v>
      </c>
      <c r="X468" s="466"/>
      <c r="Y468" s="467">
        <v>0</v>
      </c>
      <c r="Z468" s="466"/>
      <c r="AA468" s="466"/>
      <c r="AB468" s="466"/>
      <c r="AC468" s="467">
        <v>0</v>
      </c>
      <c r="AD468" s="467">
        <v>0</v>
      </c>
      <c r="AE468" s="467">
        <v>0</v>
      </c>
      <c r="AF468" s="466"/>
      <c r="AG468" s="467"/>
    </row>
    <row r="469" spans="1:33" customFormat="1" ht="15" customHeight="1">
      <c r="A469" s="435" t="s">
        <v>436</v>
      </c>
      <c r="B469" s="373" t="s">
        <v>831</v>
      </c>
      <c r="C469" s="389"/>
      <c r="D469" s="375">
        <v>227979</v>
      </c>
      <c r="E469" s="375">
        <v>8</v>
      </c>
      <c r="F469" s="464">
        <f t="shared" si="46"/>
        <v>0</v>
      </c>
      <c r="G469" s="465">
        <f t="shared" si="47"/>
        <v>589014</v>
      </c>
      <c r="H469" s="466"/>
      <c r="I469" s="482">
        <v>192338</v>
      </c>
      <c r="J469" s="466"/>
      <c r="K469" s="482">
        <v>7029</v>
      </c>
      <c r="L469" s="466"/>
      <c r="M469" s="466"/>
      <c r="N469" s="466"/>
      <c r="O469" s="482">
        <v>389623</v>
      </c>
      <c r="P469" s="482">
        <v>24</v>
      </c>
      <c r="Q469" s="467">
        <v>0</v>
      </c>
      <c r="R469" s="466"/>
      <c r="S469" s="467"/>
      <c r="T469" s="464">
        <f t="shared" si="45"/>
        <v>0</v>
      </c>
      <c r="U469" s="465">
        <f t="shared" si="48"/>
        <v>0</v>
      </c>
      <c r="V469" s="466"/>
      <c r="W469" s="467">
        <v>0</v>
      </c>
      <c r="X469" s="466"/>
      <c r="Y469" s="467">
        <v>0</v>
      </c>
      <c r="Z469" s="466"/>
      <c r="AA469" s="466"/>
      <c r="AB469" s="466"/>
      <c r="AC469" s="467">
        <v>0</v>
      </c>
      <c r="AD469" s="467">
        <v>0</v>
      </c>
      <c r="AE469" s="467">
        <v>0</v>
      </c>
      <c r="AF469" s="466"/>
      <c r="AG469" s="467"/>
    </row>
    <row r="470" spans="1:33" customFormat="1" ht="15" customHeight="1">
      <c r="A470" s="435" t="s">
        <v>436</v>
      </c>
      <c r="B470" s="373" t="s">
        <v>832</v>
      </c>
      <c r="C470" s="389"/>
      <c r="D470" s="375">
        <v>228158</v>
      </c>
      <c r="E470" s="375">
        <v>8</v>
      </c>
      <c r="F470" s="464">
        <f t="shared" si="46"/>
        <v>0</v>
      </c>
      <c r="G470" s="465">
        <f t="shared" si="47"/>
        <v>178439</v>
      </c>
      <c r="H470" s="466"/>
      <c r="I470" s="482">
        <v>51481</v>
      </c>
      <c r="J470" s="466"/>
      <c r="K470" s="482">
        <v>46399</v>
      </c>
      <c r="L470" s="466"/>
      <c r="M470" s="466"/>
      <c r="N470" s="466"/>
      <c r="O470" s="482">
        <v>78021</v>
      </c>
      <c r="P470" s="482">
        <v>2538</v>
      </c>
      <c r="Q470" s="467">
        <v>0</v>
      </c>
      <c r="R470" s="466"/>
      <c r="S470" s="467"/>
      <c r="T470" s="464">
        <f t="shared" si="45"/>
        <v>0</v>
      </c>
      <c r="U470" s="465">
        <f t="shared" si="48"/>
        <v>0</v>
      </c>
      <c r="V470" s="466"/>
      <c r="W470" s="467">
        <v>0</v>
      </c>
      <c r="X470" s="466"/>
      <c r="Y470" s="467">
        <v>0</v>
      </c>
      <c r="Z470" s="466"/>
      <c r="AA470" s="466"/>
      <c r="AB470" s="466"/>
      <c r="AC470" s="467">
        <v>0</v>
      </c>
      <c r="AD470" s="467">
        <v>0</v>
      </c>
      <c r="AE470" s="467">
        <v>0</v>
      </c>
      <c r="AF470" s="466"/>
      <c r="AG470" s="467"/>
    </row>
    <row r="471" spans="1:33" customFormat="1" ht="15" customHeight="1">
      <c r="A471" s="435" t="s">
        <v>436</v>
      </c>
      <c r="B471" s="373" t="s">
        <v>833</v>
      </c>
      <c r="C471" s="389"/>
      <c r="D471" s="375">
        <v>227854</v>
      </c>
      <c r="E471" s="375">
        <v>8</v>
      </c>
      <c r="F471" s="464">
        <f t="shared" si="46"/>
        <v>0</v>
      </c>
      <c r="G471" s="465">
        <f t="shared" si="47"/>
        <v>183846</v>
      </c>
      <c r="H471" s="466"/>
      <c r="I471" s="482">
        <v>81995</v>
      </c>
      <c r="J471" s="466"/>
      <c r="K471" s="482">
        <v>28339</v>
      </c>
      <c r="L471" s="466"/>
      <c r="M471" s="466"/>
      <c r="N471" s="466"/>
      <c r="O471" s="482">
        <v>73512</v>
      </c>
      <c r="P471" s="467">
        <v>0</v>
      </c>
      <c r="Q471" s="467">
        <v>0</v>
      </c>
      <c r="R471" s="466"/>
      <c r="S471" s="467"/>
      <c r="T471" s="464">
        <f t="shared" si="45"/>
        <v>0</v>
      </c>
      <c r="U471" s="465">
        <f t="shared" si="48"/>
        <v>0</v>
      </c>
      <c r="V471" s="466"/>
      <c r="W471" s="467">
        <v>0</v>
      </c>
      <c r="X471" s="466"/>
      <c r="Y471" s="467">
        <v>0</v>
      </c>
      <c r="Z471" s="466"/>
      <c r="AA471" s="466"/>
      <c r="AB471" s="466"/>
      <c r="AC471" s="467">
        <v>0</v>
      </c>
      <c r="AD471" s="467">
        <v>0</v>
      </c>
      <c r="AE471" s="467">
        <v>0</v>
      </c>
      <c r="AF471" s="466"/>
      <c r="AG471" s="467"/>
    </row>
    <row r="472" spans="1:33" customFormat="1" ht="15" customHeight="1">
      <c r="A472" s="435" t="s">
        <v>436</v>
      </c>
      <c r="B472" s="373" t="s">
        <v>834</v>
      </c>
      <c r="C472" s="389"/>
      <c r="D472" s="375">
        <v>228547</v>
      </c>
      <c r="E472" s="375">
        <v>8</v>
      </c>
      <c r="F472" s="464">
        <f t="shared" si="46"/>
        <v>0</v>
      </c>
      <c r="G472" s="465">
        <f t="shared" si="47"/>
        <v>892273</v>
      </c>
      <c r="H472" s="466"/>
      <c r="I472" s="482">
        <v>661403</v>
      </c>
      <c r="J472" s="466"/>
      <c r="K472" s="482">
        <v>37574</v>
      </c>
      <c r="L472" s="466"/>
      <c r="M472" s="466"/>
      <c r="N472" s="466"/>
      <c r="O472" s="482">
        <v>193296</v>
      </c>
      <c r="P472" s="467">
        <v>0</v>
      </c>
      <c r="Q472" s="467">
        <v>0</v>
      </c>
      <c r="R472" s="466"/>
      <c r="S472" s="467"/>
      <c r="T472" s="464">
        <f t="shared" si="45"/>
        <v>0</v>
      </c>
      <c r="U472" s="465">
        <f t="shared" si="48"/>
        <v>0</v>
      </c>
      <c r="V472" s="466"/>
      <c r="W472" s="467">
        <v>0</v>
      </c>
      <c r="X472" s="466"/>
      <c r="Y472" s="467">
        <v>0</v>
      </c>
      <c r="Z472" s="466"/>
      <c r="AA472" s="466"/>
      <c r="AB472" s="466"/>
      <c r="AC472" s="467">
        <v>0</v>
      </c>
      <c r="AD472" s="467">
        <v>0</v>
      </c>
      <c r="AE472" s="467">
        <v>0</v>
      </c>
      <c r="AF472" s="466"/>
      <c r="AG472" s="467"/>
    </row>
    <row r="473" spans="1:33" customFormat="1" ht="15" customHeight="1">
      <c r="A473" s="435" t="s">
        <v>436</v>
      </c>
      <c r="B473" s="373" t="s">
        <v>835</v>
      </c>
      <c r="C473" s="389"/>
      <c r="D473" s="375">
        <v>225308</v>
      </c>
      <c r="E473" s="375">
        <v>8</v>
      </c>
      <c r="F473" s="464">
        <f t="shared" si="46"/>
        <v>0</v>
      </c>
      <c r="G473" s="465">
        <f t="shared" si="47"/>
        <v>119610</v>
      </c>
      <c r="H473" s="466"/>
      <c r="I473" s="482">
        <v>20933</v>
      </c>
      <c r="J473" s="466"/>
      <c r="K473" s="482">
        <v>12142</v>
      </c>
      <c r="L473" s="466"/>
      <c r="M473" s="466"/>
      <c r="N473" s="466"/>
      <c r="O473" s="482">
        <v>80902</v>
      </c>
      <c r="P473" s="482">
        <v>5633</v>
      </c>
      <c r="Q473" s="467">
        <v>0</v>
      </c>
      <c r="R473" s="466"/>
      <c r="S473" s="467"/>
      <c r="T473" s="464">
        <f t="shared" si="45"/>
        <v>0</v>
      </c>
      <c r="U473" s="465">
        <f t="shared" si="48"/>
        <v>0</v>
      </c>
      <c r="V473" s="466"/>
      <c r="W473" s="467">
        <v>0</v>
      </c>
      <c r="X473" s="466"/>
      <c r="Y473" s="467">
        <v>0</v>
      </c>
      <c r="Z473" s="466"/>
      <c r="AA473" s="466"/>
      <c r="AB473" s="466"/>
      <c r="AC473" s="467">
        <v>0</v>
      </c>
      <c r="AD473" s="467">
        <v>0</v>
      </c>
      <c r="AE473" s="467">
        <v>0</v>
      </c>
      <c r="AF473" s="466"/>
      <c r="AG473" s="467"/>
    </row>
    <row r="474" spans="1:33" customFormat="1" ht="15" customHeight="1">
      <c r="A474" s="435" t="s">
        <v>436</v>
      </c>
      <c r="B474" s="373" t="s">
        <v>836</v>
      </c>
      <c r="C474" s="389" t="s">
        <v>725</v>
      </c>
      <c r="D474" s="375">
        <v>229355</v>
      </c>
      <c r="E474" s="375">
        <v>8</v>
      </c>
      <c r="F474" s="464">
        <f t="shared" si="46"/>
        <v>0</v>
      </c>
      <c r="G474" s="465">
        <f t="shared" si="47"/>
        <v>247920</v>
      </c>
      <c r="H474" s="466"/>
      <c r="I474" s="482">
        <v>104136</v>
      </c>
      <c r="J474" s="466"/>
      <c r="K474" s="482">
        <v>13223</v>
      </c>
      <c r="L474" s="466"/>
      <c r="M474" s="466"/>
      <c r="N474" s="466"/>
      <c r="O474" s="482">
        <v>130561</v>
      </c>
      <c r="P474" s="467">
        <v>0</v>
      </c>
      <c r="Q474" s="467">
        <v>0</v>
      </c>
      <c r="R474" s="466"/>
      <c r="S474" s="467"/>
      <c r="T474" s="464">
        <f t="shared" si="45"/>
        <v>0</v>
      </c>
      <c r="U474" s="465">
        <f t="shared" si="48"/>
        <v>0</v>
      </c>
      <c r="V474" s="466"/>
      <c r="W474" s="467">
        <v>0</v>
      </c>
      <c r="X474" s="466"/>
      <c r="Y474" s="467">
        <v>0</v>
      </c>
      <c r="Z474" s="466"/>
      <c r="AA474" s="466"/>
      <c r="AB474" s="466"/>
      <c r="AC474" s="467">
        <v>0</v>
      </c>
      <c r="AD474" s="467">
        <v>0</v>
      </c>
      <c r="AE474" s="467">
        <v>0</v>
      </c>
      <c r="AF474" s="466"/>
      <c r="AG474" s="467"/>
    </row>
    <row r="475" spans="1:33" customFormat="1" ht="15" customHeight="1">
      <c r="A475" s="435" t="s">
        <v>436</v>
      </c>
      <c r="B475" s="373" t="s">
        <v>837</v>
      </c>
      <c r="C475" s="389"/>
      <c r="D475" s="375">
        <v>222567</v>
      </c>
      <c r="E475" s="375">
        <v>9</v>
      </c>
      <c r="F475" s="464">
        <f t="shared" si="46"/>
        <v>0</v>
      </c>
      <c r="G475" s="465">
        <f t="shared" si="47"/>
        <v>101159</v>
      </c>
      <c r="H475" s="466"/>
      <c r="I475" s="482">
        <v>27836</v>
      </c>
      <c r="J475" s="466"/>
      <c r="K475" s="482">
        <v>19998</v>
      </c>
      <c r="L475" s="466"/>
      <c r="M475" s="466"/>
      <c r="N475" s="466"/>
      <c r="O475" s="482">
        <v>29107</v>
      </c>
      <c r="P475" s="482">
        <v>24218</v>
      </c>
      <c r="Q475" s="467">
        <v>0</v>
      </c>
      <c r="R475" s="466"/>
      <c r="S475" s="467"/>
      <c r="T475" s="464">
        <f t="shared" si="45"/>
        <v>0</v>
      </c>
      <c r="U475" s="465">
        <f t="shared" si="48"/>
        <v>0</v>
      </c>
      <c r="V475" s="466"/>
      <c r="W475" s="467">
        <v>0</v>
      </c>
      <c r="X475" s="466"/>
      <c r="Y475" s="467">
        <v>0</v>
      </c>
      <c r="Z475" s="466"/>
      <c r="AA475" s="466"/>
      <c r="AB475" s="466"/>
      <c r="AC475" s="467">
        <v>0</v>
      </c>
      <c r="AD475" s="467">
        <v>0</v>
      </c>
      <c r="AE475" s="467">
        <v>0</v>
      </c>
      <c r="AF475" s="466"/>
      <c r="AG475" s="467"/>
    </row>
    <row r="476" spans="1:33" customFormat="1" ht="15" customHeight="1">
      <c r="A476" s="435" t="s">
        <v>436</v>
      </c>
      <c r="B476" s="373" t="s">
        <v>838</v>
      </c>
      <c r="C476" s="389"/>
      <c r="D476" s="375">
        <v>222822</v>
      </c>
      <c r="E476" s="375">
        <v>9</v>
      </c>
      <c r="F476" s="464">
        <f t="shared" si="46"/>
        <v>0</v>
      </c>
      <c r="G476" s="465">
        <f t="shared" si="47"/>
        <v>77650</v>
      </c>
      <c r="H476" s="466"/>
      <c r="I476" s="482">
        <v>17455</v>
      </c>
      <c r="J476" s="466"/>
      <c r="K476" s="482">
        <v>6627</v>
      </c>
      <c r="L476" s="466"/>
      <c r="M476" s="466"/>
      <c r="N476" s="466"/>
      <c r="O476" s="482">
        <v>53480</v>
      </c>
      <c r="P476" s="482">
        <v>70</v>
      </c>
      <c r="Q476" s="482">
        <v>18</v>
      </c>
      <c r="R476" s="466"/>
      <c r="S476" s="467"/>
      <c r="T476" s="464">
        <f t="shared" si="45"/>
        <v>0</v>
      </c>
      <c r="U476" s="465">
        <f t="shared" si="48"/>
        <v>0</v>
      </c>
      <c r="V476" s="466"/>
      <c r="W476" s="467">
        <v>0</v>
      </c>
      <c r="X476" s="466"/>
      <c r="Y476" s="467">
        <v>0</v>
      </c>
      <c r="Z476" s="466"/>
      <c r="AA476" s="466"/>
      <c r="AB476" s="466"/>
      <c r="AC476" s="467">
        <v>0</v>
      </c>
      <c r="AD476" s="467">
        <v>0</v>
      </c>
      <c r="AE476" s="467">
        <v>0</v>
      </c>
      <c r="AF476" s="466"/>
      <c r="AG476" s="467"/>
    </row>
    <row r="477" spans="1:33" customFormat="1" ht="15" customHeight="1">
      <c r="A477" s="435" t="s">
        <v>436</v>
      </c>
      <c r="B477" s="373" t="s">
        <v>839</v>
      </c>
      <c r="C477" s="389"/>
      <c r="D477" s="375">
        <v>223773</v>
      </c>
      <c r="E477" s="375">
        <v>9</v>
      </c>
      <c r="F477" s="464">
        <f t="shared" si="46"/>
        <v>0</v>
      </c>
      <c r="G477" s="465">
        <f t="shared" si="47"/>
        <v>95881</v>
      </c>
      <c r="H477" s="466"/>
      <c r="I477" s="482">
        <v>22988</v>
      </c>
      <c r="J477" s="466"/>
      <c r="K477" s="482">
        <v>7267</v>
      </c>
      <c r="L477" s="466"/>
      <c r="M477" s="466"/>
      <c r="N477" s="466"/>
      <c r="O477" s="482">
        <v>65626</v>
      </c>
      <c r="P477" s="467">
        <v>0</v>
      </c>
      <c r="Q477" s="467">
        <v>0</v>
      </c>
      <c r="R477" s="466"/>
      <c r="S477" s="467"/>
      <c r="T477" s="464">
        <f t="shared" si="45"/>
        <v>0</v>
      </c>
      <c r="U477" s="465">
        <f t="shared" si="48"/>
        <v>0</v>
      </c>
      <c r="V477" s="466"/>
      <c r="W477" s="467">
        <v>0</v>
      </c>
      <c r="X477" s="466"/>
      <c r="Y477" s="467">
        <v>0</v>
      </c>
      <c r="Z477" s="466"/>
      <c r="AA477" s="466"/>
      <c r="AB477" s="466"/>
      <c r="AC477" s="467">
        <v>0</v>
      </c>
      <c r="AD477" s="467">
        <v>0</v>
      </c>
      <c r="AE477" s="467">
        <v>0</v>
      </c>
      <c r="AF477" s="466"/>
      <c r="AG477" s="467"/>
    </row>
    <row r="478" spans="1:33" customFormat="1" ht="15" customHeight="1">
      <c r="A478" s="435" t="s">
        <v>436</v>
      </c>
      <c r="B478" s="391" t="s">
        <v>840</v>
      </c>
      <c r="C478" s="389"/>
      <c r="D478" s="375">
        <v>223898</v>
      </c>
      <c r="E478" s="375">
        <v>9</v>
      </c>
      <c r="F478" s="464">
        <f t="shared" si="46"/>
        <v>0</v>
      </c>
      <c r="G478" s="465">
        <f t="shared" si="47"/>
        <v>66147</v>
      </c>
      <c r="H478" s="466"/>
      <c r="I478" s="482">
        <v>792</v>
      </c>
      <c r="J478" s="466"/>
      <c r="K478" s="482">
        <v>1784</v>
      </c>
      <c r="L478" s="466"/>
      <c r="M478" s="466"/>
      <c r="N478" s="466"/>
      <c r="O478" s="482">
        <v>63487</v>
      </c>
      <c r="P478" s="482">
        <v>84</v>
      </c>
      <c r="Q478" s="467">
        <v>0</v>
      </c>
      <c r="R478" s="466"/>
      <c r="S478" s="467"/>
      <c r="T478" s="464">
        <f t="shared" si="45"/>
        <v>0</v>
      </c>
      <c r="U478" s="465">
        <f t="shared" si="48"/>
        <v>0</v>
      </c>
      <c r="V478" s="466"/>
      <c r="W478" s="467">
        <v>0</v>
      </c>
      <c r="X478" s="466"/>
      <c r="Y478" s="467">
        <v>0</v>
      </c>
      <c r="Z478" s="466"/>
      <c r="AA478" s="466"/>
      <c r="AB478" s="466"/>
      <c r="AC478" s="467">
        <v>0</v>
      </c>
      <c r="AD478" s="467">
        <v>0</v>
      </c>
      <c r="AE478" s="467">
        <v>0</v>
      </c>
      <c r="AF478" s="466"/>
      <c r="AG478" s="467"/>
    </row>
    <row r="479" spans="1:33" customFormat="1" ht="15" customHeight="1">
      <c r="A479" s="435" t="s">
        <v>436</v>
      </c>
      <c r="B479" s="373" t="s">
        <v>841</v>
      </c>
      <c r="C479" s="389"/>
      <c r="D479" s="375">
        <v>223320</v>
      </c>
      <c r="E479" s="375">
        <v>9</v>
      </c>
      <c r="F479" s="464">
        <f t="shared" si="46"/>
        <v>0</v>
      </c>
      <c r="G479" s="465">
        <f t="shared" si="47"/>
        <v>76389</v>
      </c>
      <c r="H479" s="466"/>
      <c r="I479" s="482">
        <v>6750</v>
      </c>
      <c r="J479" s="466"/>
      <c r="K479" s="482">
        <v>15128</v>
      </c>
      <c r="L479" s="466"/>
      <c r="M479" s="466"/>
      <c r="N479" s="466"/>
      <c r="O479" s="482">
        <v>51377</v>
      </c>
      <c r="P479" s="482">
        <v>2813</v>
      </c>
      <c r="Q479" s="482">
        <v>321</v>
      </c>
      <c r="R479" s="466"/>
      <c r="S479" s="467"/>
      <c r="T479" s="464">
        <f t="shared" si="45"/>
        <v>0</v>
      </c>
      <c r="U479" s="465">
        <f t="shared" si="48"/>
        <v>0</v>
      </c>
      <c r="V479" s="466"/>
      <c r="W479" s="467">
        <v>0</v>
      </c>
      <c r="X479" s="466"/>
      <c r="Y479" s="467">
        <v>0</v>
      </c>
      <c r="Z479" s="466"/>
      <c r="AA479" s="466"/>
      <c r="AB479" s="466"/>
      <c r="AC479" s="467">
        <v>0</v>
      </c>
      <c r="AD479" s="467">
        <v>0</v>
      </c>
      <c r="AE479" s="467">
        <v>0</v>
      </c>
      <c r="AF479" s="466"/>
      <c r="AG479" s="467"/>
    </row>
    <row r="480" spans="1:33" customFormat="1" ht="15" customHeight="1">
      <c r="A480" s="435" t="s">
        <v>436</v>
      </c>
      <c r="B480" s="373" t="s">
        <v>842</v>
      </c>
      <c r="C480" s="389"/>
      <c r="D480" s="375">
        <v>226408</v>
      </c>
      <c r="E480" s="375">
        <v>9</v>
      </c>
      <c r="F480" s="464">
        <f t="shared" si="46"/>
        <v>0</v>
      </c>
      <c r="G480" s="465">
        <f t="shared" si="47"/>
        <v>85885</v>
      </c>
      <c r="H480" s="466"/>
      <c r="I480" s="482">
        <v>50038</v>
      </c>
      <c r="J480" s="466"/>
      <c r="K480" s="482">
        <v>3140</v>
      </c>
      <c r="L480" s="466"/>
      <c r="M480" s="466"/>
      <c r="N480" s="466"/>
      <c r="O480" s="482">
        <v>32707</v>
      </c>
      <c r="P480" s="467">
        <v>0</v>
      </c>
      <c r="Q480" s="467">
        <v>0</v>
      </c>
      <c r="R480" s="466"/>
      <c r="S480" s="467"/>
      <c r="T480" s="464">
        <f t="shared" si="45"/>
        <v>0</v>
      </c>
      <c r="U480" s="465">
        <f t="shared" si="48"/>
        <v>0</v>
      </c>
      <c r="V480" s="466"/>
      <c r="W480" s="467">
        <v>0</v>
      </c>
      <c r="X480" s="466"/>
      <c r="Y480" s="467">
        <v>0</v>
      </c>
      <c r="Z480" s="466"/>
      <c r="AA480" s="466"/>
      <c r="AB480" s="466"/>
      <c r="AC480" s="467">
        <v>0</v>
      </c>
      <c r="AD480" s="467">
        <v>0</v>
      </c>
      <c r="AE480" s="467">
        <v>0</v>
      </c>
      <c r="AF480" s="466"/>
      <c r="AG480" s="467"/>
    </row>
    <row r="481" spans="1:33" customFormat="1" ht="15" customHeight="1">
      <c r="A481" s="435" t="s">
        <v>436</v>
      </c>
      <c r="B481" s="391" t="s">
        <v>843</v>
      </c>
      <c r="C481" s="389"/>
      <c r="D481" s="375">
        <v>225070</v>
      </c>
      <c r="E481" s="375">
        <v>9</v>
      </c>
      <c r="F481" s="464">
        <f t="shared" si="46"/>
        <v>0</v>
      </c>
      <c r="G481" s="465">
        <f t="shared" si="47"/>
        <v>76820</v>
      </c>
      <c r="H481" s="466"/>
      <c r="I481" s="482">
        <v>25184</v>
      </c>
      <c r="J481" s="466"/>
      <c r="K481" s="467">
        <v>0</v>
      </c>
      <c r="L481" s="466"/>
      <c r="M481" s="466"/>
      <c r="N481" s="466"/>
      <c r="O481" s="482">
        <v>51126</v>
      </c>
      <c r="P481" s="482">
        <v>366</v>
      </c>
      <c r="Q481" s="482">
        <v>144</v>
      </c>
      <c r="R481" s="466"/>
      <c r="S481" s="467"/>
      <c r="T481" s="464">
        <f t="shared" si="45"/>
        <v>0</v>
      </c>
      <c r="U481" s="465">
        <f t="shared" si="48"/>
        <v>0</v>
      </c>
      <c r="V481" s="466"/>
      <c r="W481" s="467">
        <v>0</v>
      </c>
      <c r="X481" s="466"/>
      <c r="Y481" s="467">
        <v>0</v>
      </c>
      <c r="Z481" s="466"/>
      <c r="AA481" s="466"/>
      <c r="AB481" s="466"/>
      <c r="AC481" s="467">
        <v>0</v>
      </c>
      <c r="AD481" s="467">
        <v>0</v>
      </c>
      <c r="AE481" s="467">
        <v>0</v>
      </c>
      <c r="AF481" s="466"/>
      <c r="AG481" s="467"/>
    </row>
    <row r="482" spans="1:33" customFormat="1" ht="15" customHeight="1">
      <c r="A482" s="435" t="s">
        <v>436</v>
      </c>
      <c r="B482" s="373" t="s">
        <v>844</v>
      </c>
      <c r="C482" s="389"/>
      <c r="D482" s="375">
        <v>225371</v>
      </c>
      <c r="E482" s="375">
        <v>9</v>
      </c>
      <c r="F482" s="464">
        <f t="shared" si="46"/>
        <v>0</v>
      </c>
      <c r="G482" s="465">
        <f t="shared" si="47"/>
        <v>81875</v>
      </c>
      <c r="H482" s="466"/>
      <c r="I482" s="482">
        <v>12834</v>
      </c>
      <c r="J482" s="466"/>
      <c r="K482" s="482">
        <v>22198</v>
      </c>
      <c r="L482" s="466"/>
      <c r="M482" s="466"/>
      <c r="N482" s="466"/>
      <c r="O482" s="482">
        <v>46402</v>
      </c>
      <c r="P482" s="482">
        <v>441</v>
      </c>
      <c r="Q482" s="467">
        <v>0</v>
      </c>
      <c r="R482" s="466"/>
      <c r="S482" s="467"/>
      <c r="T482" s="464">
        <f t="shared" si="45"/>
        <v>0</v>
      </c>
      <c r="U482" s="465">
        <f t="shared" si="48"/>
        <v>0</v>
      </c>
      <c r="V482" s="466"/>
      <c r="W482" s="467">
        <v>0</v>
      </c>
      <c r="X482" s="466"/>
      <c r="Y482" s="467">
        <v>0</v>
      </c>
      <c r="Z482" s="466"/>
      <c r="AA482" s="466"/>
      <c r="AB482" s="466"/>
      <c r="AC482" s="467">
        <v>0</v>
      </c>
      <c r="AD482" s="467">
        <v>0</v>
      </c>
      <c r="AE482" s="467">
        <v>0</v>
      </c>
      <c r="AF482" s="466"/>
      <c r="AG482" s="467"/>
    </row>
    <row r="483" spans="1:33" customFormat="1" ht="15" customHeight="1">
      <c r="A483" s="435" t="s">
        <v>436</v>
      </c>
      <c r="B483" s="373" t="s">
        <v>845</v>
      </c>
      <c r="C483" s="389"/>
      <c r="D483" s="375">
        <v>225520</v>
      </c>
      <c r="E483" s="375">
        <v>9</v>
      </c>
      <c r="F483" s="464">
        <f t="shared" si="46"/>
        <v>0</v>
      </c>
      <c r="G483" s="465">
        <f t="shared" si="47"/>
        <v>59738</v>
      </c>
      <c r="H483" s="466"/>
      <c r="I483" s="482">
        <v>2345</v>
      </c>
      <c r="J483" s="466"/>
      <c r="K483" s="482">
        <v>11837</v>
      </c>
      <c r="L483" s="466"/>
      <c r="M483" s="466"/>
      <c r="N483" s="466"/>
      <c r="O483" s="482">
        <v>44800</v>
      </c>
      <c r="P483" s="482">
        <v>756</v>
      </c>
      <c r="Q483" s="467">
        <v>0</v>
      </c>
      <c r="R483" s="466"/>
      <c r="S483" s="467"/>
      <c r="T483" s="464">
        <f t="shared" si="45"/>
        <v>0</v>
      </c>
      <c r="U483" s="465">
        <f t="shared" si="48"/>
        <v>0</v>
      </c>
      <c r="V483" s="466"/>
      <c r="W483" s="467">
        <v>0</v>
      </c>
      <c r="X483" s="466"/>
      <c r="Y483" s="467">
        <v>0</v>
      </c>
      <c r="Z483" s="466"/>
      <c r="AA483" s="466"/>
      <c r="AB483" s="466"/>
      <c r="AC483" s="467">
        <v>0</v>
      </c>
      <c r="AD483" s="467">
        <v>0</v>
      </c>
      <c r="AE483" s="467">
        <v>0</v>
      </c>
      <c r="AF483" s="466"/>
      <c r="AG483" s="467"/>
    </row>
    <row r="484" spans="1:33" customFormat="1" ht="15" customHeight="1">
      <c r="A484" s="435" t="s">
        <v>436</v>
      </c>
      <c r="B484" s="373" t="s">
        <v>846</v>
      </c>
      <c r="C484" s="389"/>
      <c r="D484" s="375">
        <v>226019</v>
      </c>
      <c r="E484" s="375">
        <v>9</v>
      </c>
      <c r="F484" s="464">
        <f t="shared" si="46"/>
        <v>0</v>
      </c>
      <c r="G484" s="465">
        <f t="shared" si="47"/>
        <v>120776</v>
      </c>
      <c r="H484" s="466"/>
      <c r="I484" s="482">
        <v>37493</v>
      </c>
      <c r="J484" s="466"/>
      <c r="K484" s="482">
        <v>26883</v>
      </c>
      <c r="L484" s="466"/>
      <c r="M484" s="466"/>
      <c r="N484" s="466"/>
      <c r="O484" s="482">
        <v>56400</v>
      </c>
      <c r="P484" s="467">
        <v>0</v>
      </c>
      <c r="Q484" s="467">
        <v>0</v>
      </c>
      <c r="R484" s="466"/>
      <c r="S484" s="467"/>
      <c r="T484" s="464">
        <f t="shared" si="45"/>
        <v>0</v>
      </c>
      <c r="U484" s="465">
        <f t="shared" si="48"/>
        <v>0</v>
      </c>
      <c r="V484" s="466"/>
      <c r="W484" s="467">
        <v>0</v>
      </c>
      <c r="X484" s="466"/>
      <c r="Y484" s="467">
        <v>0</v>
      </c>
      <c r="Z484" s="466"/>
      <c r="AA484" s="466"/>
      <c r="AB484" s="466"/>
      <c r="AC484" s="467">
        <v>0</v>
      </c>
      <c r="AD484" s="467">
        <v>0</v>
      </c>
      <c r="AE484" s="467">
        <v>0</v>
      </c>
      <c r="AF484" s="466"/>
      <c r="AG484" s="467"/>
    </row>
    <row r="485" spans="1:33" customFormat="1" ht="15" customHeight="1">
      <c r="A485" s="375" t="s">
        <v>436</v>
      </c>
      <c r="B485" s="373" t="s">
        <v>847</v>
      </c>
      <c r="C485" s="389"/>
      <c r="D485" s="375">
        <v>441760</v>
      </c>
      <c r="E485" s="375">
        <v>9</v>
      </c>
      <c r="F485" s="464">
        <f t="shared" si="46"/>
        <v>0</v>
      </c>
      <c r="G485" s="465">
        <f t="shared" si="47"/>
        <v>77358</v>
      </c>
      <c r="H485" s="466"/>
      <c r="I485" s="482">
        <v>39512</v>
      </c>
      <c r="J485" s="466"/>
      <c r="K485" s="482">
        <v>7089</v>
      </c>
      <c r="L485" s="466"/>
      <c r="M485" s="466"/>
      <c r="N485" s="466"/>
      <c r="O485" s="482">
        <v>30727</v>
      </c>
      <c r="P485" s="482">
        <v>30</v>
      </c>
      <c r="Q485" s="467">
        <v>0</v>
      </c>
      <c r="R485" s="466"/>
      <c r="S485" s="467"/>
      <c r="T485" s="464">
        <f t="shared" si="45"/>
        <v>0</v>
      </c>
      <c r="U485" s="465">
        <f t="shared" si="48"/>
        <v>0</v>
      </c>
      <c r="V485" s="466"/>
      <c r="W485" s="467">
        <v>0</v>
      </c>
      <c r="X485" s="466"/>
      <c r="Y485" s="467">
        <v>0</v>
      </c>
      <c r="Z485" s="466"/>
      <c r="AA485" s="466"/>
      <c r="AB485" s="466"/>
      <c r="AC485" s="467">
        <v>0</v>
      </c>
      <c r="AD485" s="467">
        <v>0</v>
      </c>
      <c r="AE485" s="467">
        <v>0</v>
      </c>
      <c r="AF485" s="466"/>
      <c r="AG485" s="467"/>
    </row>
    <row r="486" spans="1:33" customFormat="1" ht="15" customHeight="1">
      <c r="A486" s="375" t="s">
        <v>436</v>
      </c>
      <c r="B486" s="373" t="s">
        <v>848</v>
      </c>
      <c r="C486" s="389"/>
      <c r="D486" s="375">
        <v>226204</v>
      </c>
      <c r="E486" s="375">
        <v>9</v>
      </c>
      <c r="F486" s="464">
        <f t="shared" si="46"/>
        <v>0</v>
      </c>
      <c r="G486" s="465">
        <f t="shared" si="47"/>
        <v>130215</v>
      </c>
      <c r="H486" s="466"/>
      <c r="I486" s="482">
        <v>31383</v>
      </c>
      <c r="J486" s="466"/>
      <c r="K486" s="482">
        <v>30578</v>
      </c>
      <c r="L486" s="466"/>
      <c r="M486" s="466"/>
      <c r="N486" s="466"/>
      <c r="O486" s="482">
        <v>68254</v>
      </c>
      <c r="P486" s="467">
        <v>0</v>
      </c>
      <c r="Q486" s="467">
        <v>0</v>
      </c>
      <c r="R486" s="466"/>
      <c r="S486" s="467"/>
      <c r="T486" s="464">
        <f t="shared" si="45"/>
        <v>0</v>
      </c>
      <c r="U486" s="465">
        <f t="shared" si="48"/>
        <v>0</v>
      </c>
      <c r="V486" s="466"/>
      <c r="W486" s="467">
        <v>0</v>
      </c>
      <c r="X486" s="466"/>
      <c r="Y486" s="467">
        <v>0</v>
      </c>
      <c r="Z486" s="466"/>
      <c r="AA486" s="466"/>
      <c r="AB486" s="466"/>
      <c r="AC486" s="467">
        <v>0</v>
      </c>
      <c r="AD486" s="467">
        <v>0</v>
      </c>
      <c r="AE486" s="467">
        <v>0</v>
      </c>
      <c r="AF486" s="466"/>
      <c r="AG486" s="467"/>
    </row>
    <row r="487" spans="1:33" customFormat="1" ht="15" customHeight="1">
      <c r="A487" s="375" t="s">
        <v>436</v>
      </c>
      <c r="B487" s="373" t="s">
        <v>849</v>
      </c>
      <c r="C487" s="463" t="s">
        <v>922</v>
      </c>
      <c r="D487" s="375">
        <v>227225</v>
      </c>
      <c r="E487" s="375">
        <v>9</v>
      </c>
      <c r="F487" s="464">
        <f t="shared" si="46"/>
        <v>0</v>
      </c>
      <c r="G487" s="465">
        <f t="shared" si="47"/>
        <v>58522</v>
      </c>
      <c r="H487" s="466"/>
      <c r="I487" s="482">
        <v>15087</v>
      </c>
      <c r="J487" s="466"/>
      <c r="K487" s="482">
        <v>3657</v>
      </c>
      <c r="L487" s="466"/>
      <c r="M487" s="466"/>
      <c r="N487" s="466"/>
      <c r="O487" s="482">
        <v>39778</v>
      </c>
      <c r="P487" s="467">
        <v>0</v>
      </c>
      <c r="Q487" s="467">
        <v>0</v>
      </c>
      <c r="R487" s="466"/>
      <c r="S487" s="467"/>
      <c r="T487" s="464">
        <f t="shared" si="45"/>
        <v>0</v>
      </c>
      <c r="U487" s="465">
        <f t="shared" si="48"/>
        <v>0</v>
      </c>
      <c r="V487" s="466"/>
      <c r="W487" s="467">
        <v>0</v>
      </c>
      <c r="X487" s="466"/>
      <c r="Y487" s="467">
        <v>0</v>
      </c>
      <c r="Z487" s="466"/>
      <c r="AA487" s="466"/>
      <c r="AB487" s="466"/>
      <c r="AC487" s="467">
        <v>0</v>
      </c>
      <c r="AD487" s="467">
        <v>0</v>
      </c>
      <c r="AE487" s="467">
        <v>0</v>
      </c>
      <c r="AF487" s="466"/>
      <c r="AG487" s="467"/>
    </row>
    <row r="488" spans="1:33" customFormat="1" ht="12.75" customHeight="1">
      <c r="A488" s="375" t="s">
        <v>436</v>
      </c>
      <c r="B488" s="373" t="s">
        <v>850</v>
      </c>
      <c r="C488" s="374"/>
      <c r="D488" s="375">
        <v>227304</v>
      </c>
      <c r="E488" s="375">
        <v>9</v>
      </c>
      <c r="F488" s="464">
        <f t="shared" si="46"/>
        <v>0</v>
      </c>
      <c r="G488" s="465">
        <f t="shared" si="47"/>
        <v>128094</v>
      </c>
      <c r="H488" s="466"/>
      <c r="I488" s="482">
        <v>47960</v>
      </c>
      <c r="J488" s="466"/>
      <c r="K488" s="482">
        <v>11892</v>
      </c>
      <c r="L488" s="466"/>
      <c r="M488" s="466"/>
      <c r="N488" s="466"/>
      <c r="O488" s="482">
        <v>68242</v>
      </c>
      <c r="P488" s="467">
        <v>0</v>
      </c>
      <c r="Q488" s="467">
        <v>0</v>
      </c>
      <c r="R488" s="466"/>
      <c r="S488" s="467"/>
      <c r="T488" s="464">
        <f t="shared" si="45"/>
        <v>0</v>
      </c>
      <c r="U488" s="465">
        <f t="shared" si="48"/>
        <v>0</v>
      </c>
      <c r="V488" s="466"/>
      <c r="W488" s="467">
        <v>0</v>
      </c>
      <c r="X488" s="466"/>
      <c r="Y488" s="467">
        <v>0</v>
      </c>
      <c r="Z488" s="466"/>
      <c r="AA488" s="466"/>
      <c r="AB488" s="466"/>
      <c r="AC488" s="467">
        <v>0</v>
      </c>
      <c r="AD488" s="467">
        <v>0</v>
      </c>
      <c r="AE488" s="467">
        <v>0</v>
      </c>
      <c r="AF488" s="466"/>
      <c r="AG488" s="467"/>
    </row>
    <row r="489" spans="1:33">
      <c r="A489" s="375" t="s">
        <v>436</v>
      </c>
      <c r="B489" s="373" t="s">
        <v>851</v>
      </c>
      <c r="C489" s="374"/>
      <c r="D489" s="375">
        <v>227401</v>
      </c>
      <c r="E489" s="375">
        <v>9</v>
      </c>
      <c r="F489" s="464">
        <f t="shared" si="46"/>
        <v>0</v>
      </c>
      <c r="G489" s="465">
        <f t="shared" si="47"/>
        <v>88913</v>
      </c>
      <c r="H489" s="466"/>
      <c r="I489" s="482">
        <v>27875</v>
      </c>
      <c r="J489" s="466"/>
      <c r="K489" s="482">
        <v>10861</v>
      </c>
      <c r="L489" s="466"/>
      <c r="M489" s="466"/>
      <c r="N489" s="466"/>
      <c r="O489" s="482">
        <v>47453</v>
      </c>
      <c r="P489" s="482">
        <v>2724</v>
      </c>
      <c r="Q489" s="467">
        <v>0</v>
      </c>
      <c r="R489" s="466"/>
      <c r="S489" s="467"/>
      <c r="T489" s="464">
        <f t="shared" si="45"/>
        <v>0</v>
      </c>
      <c r="U489" s="465">
        <f t="shared" si="48"/>
        <v>0</v>
      </c>
      <c r="V489" s="466"/>
      <c r="W489" s="467">
        <v>0</v>
      </c>
      <c r="X489" s="466"/>
      <c r="Y489" s="467">
        <v>0</v>
      </c>
      <c r="Z489" s="466"/>
      <c r="AA489" s="466"/>
      <c r="AB489" s="466"/>
      <c r="AC489" s="467">
        <v>0</v>
      </c>
      <c r="AD489" s="467">
        <v>0</v>
      </c>
      <c r="AE489" s="467">
        <v>0</v>
      </c>
      <c r="AF489" s="466"/>
      <c r="AG489" s="467"/>
    </row>
    <row r="490" spans="1:33" customFormat="1" ht="12.75" customHeight="1">
      <c r="A490" s="375" t="s">
        <v>436</v>
      </c>
      <c r="B490" s="373" t="s">
        <v>852</v>
      </c>
      <c r="C490" s="374"/>
      <c r="D490" s="375">
        <v>228316</v>
      </c>
      <c r="E490" s="375">
        <v>9</v>
      </c>
      <c r="F490" s="464">
        <f t="shared" si="46"/>
        <v>0</v>
      </c>
      <c r="G490" s="465">
        <f t="shared" si="47"/>
        <v>121546</v>
      </c>
      <c r="H490" s="466"/>
      <c r="I490" s="482">
        <v>12406</v>
      </c>
      <c r="J490" s="466"/>
      <c r="K490" s="482">
        <v>46543</v>
      </c>
      <c r="L490" s="466"/>
      <c r="M490" s="466"/>
      <c r="N490" s="466"/>
      <c r="O490" s="482">
        <v>27752</v>
      </c>
      <c r="P490" s="482">
        <v>34845</v>
      </c>
      <c r="Q490" s="467">
        <v>0</v>
      </c>
      <c r="R490" s="466"/>
      <c r="S490" s="467"/>
      <c r="T490" s="464">
        <f t="shared" si="45"/>
        <v>0</v>
      </c>
      <c r="U490" s="465">
        <f t="shared" si="48"/>
        <v>0</v>
      </c>
      <c r="V490" s="466"/>
      <c r="W490" s="467">
        <v>0</v>
      </c>
      <c r="X490" s="466"/>
      <c r="Y490" s="467">
        <v>0</v>
      </c>
      <c r="Z490" s="466"/>
      <c r="AA490" s="466"/>
      <c r="AB490" s="466"/>
      <c r="AC490" s="467">
        <v>0</v>
      </c>
      <c r="AD490" s="467">
        <v>0</v>
      </c>
      <c r="AE490" s="467">
        <v>0</v>
      </c>
      <c r="AF490" s="466"/>
      <c r="AG490" s="467"/>
    </row>
    <row r="491" spans="1:33" customFormat="1" ht="12.75" customHeight="1">
      <c r="A491" s="375" t="s">
        <v>436</v>
      </c>
      <c r="B491" s="373" t="s">
        <v>853</v>
      </c>
      <c r="C491" s="374"/>
      <c r="D491" s="375">
        <v>228608</v>
      </c>
      <c r="E491" s="375">
        <v>9</v>
      </c>
      <c r="F491" s="464">
        <f t="shared" si="46"/>
        <v>0</v>
      </c>
      <c r="G491" s="465">
        <f t="shared" si="47"/>
        <v>85093</v>
      </c>
      <c r="H491" s="466"/>
      <c r="I491" s="482">
        <v>30319</v>
      </c>
      <c r="J491" s="466"/>
      <c r="K491" s="482">
        <v>7820</v>
      </c>
      <c r="L491" s="466"/>
      <c r="M491" s="466"/>
      <c r="N491" s="466"/>
      <c r="O491" s="482">
        <v>46954</v>
      </c>
      <c r="P491" s="467">
        <v>0</v>
      </c>
      <c r="Q491" s="467">
        <v>0</v>
      </c>
      <c r="R491" s="466"/>
      <c r="S491" s="467"/>
      <c r="T491" s="464">
        <f t="shared" si="45"/>
        <v>0</v>
      </c>
      <c r="U491" s="465">
        <f t="shared" si="48"/>
        <v>0</v>
      </c>
      <c r="V491" s="466"/>
      <c r="W491" s="467">
        <v>0</v>
      </c>
      <c r="X491" s="466"/>
      <c r="Y491" s="467">
        <v>0</v>
      </c>
      <c r="Z491" s="466"/>
      <c r="AA491" s="466"/>
      <c r="AB491" s="466"/>
      <c r="AC491" s="467">
        <v>0</v>
      </c>
      <c r="AD491" s="467">
        <v>0</v>
      </c>
      <c r="AE491" s="467">
        <v>0</v>
      </c>
      <c r="AF491" s="466"/>
      <c r="AG491" s="467"/>
    </row>
    <row r="492" spans="1:33" customFormat="1" ht="12.75" customHeight="1">
      <c r="A492" s="375" t="s">
        <v>436</v>
      </c>
      <c r="B492" s="373" t="s">
        <v>854</v>
      </c>
      <c r="C492" s="374"/>
      <c r="D492" s="375">
        <v>228699</v>
      </c>
      <c r="E492" s="375">
        <v>9</v>
      </c>
      <c r="F492" s="464">
        <f t="shared" si="46"/>
        <v>0</v>
      </c>
      <c r="G492" s="465">
        <f t="shared" si="47"/>
        <v>71649</v>
      </c>
      <c r="H492" s="466"/>
      <c r="I492" s="482">
        <v>19490</v>
      </c>
      <c r="J492" s="466"/>
      <c r="K492" s="482">
        <v>4951</v>
      </c>
      <c r="L492" s="466"/>
      <c r="M492" s="466"/>
      <c r="N492" s="466"/>
      <c r="O492" s="482">
        <v>47169</v>
      </c>
      <c r="P492" s="467">
        <v>0</v>
      </c>
      <c r="Q492" s="482">
        <v>39</v>
      </c>
      <c r="R492" s="466"/>
      <c r="S492" s="467"/>
      <c r="T492" s="464">
        <f t="shared" si="45"/>
        <v>0</v>
      </c>
      <c r="U492" s="465">
        <f t="shared" si="48"/>
        <v>0</v>
      </c>
      <c r="V492" s="466"/>
      <c r="W492" s="467">
        <v>0</v>
      </c>
      <c r="X492" s="466"/>
      <c r="Y492" s="467">
        <v>0</v>
      </c>
      <c r="Z492" s="466"/>
      <c r="AA492" s="466"/>
      <c r="AB492" s="466"/>
      <c r="AC492" s="467">
        <v>0</v>
      </c>
      <c r="AD492" s="467">
        <v>0</v>
      </c>
      <c r="AE492" s="467">
        <v>0</v>
      </c>
      <c r="AF492" s="466"/>
      <c r="AG492" s="467"/>
    </row>
    <row r="493" spans="1:33" customFormat="1" ht="12.75" customHeight="1">
      <c r="A493" s="375" t="s">
        <v>436</v>
      </c>
      <c r="B493" s="373" t="s">
        <v>855</v>
      </c>
      <c r="C493" s="374" t="s">
        <v>856</v>
      </c>
      <c r="D493" s="364">
        <v>227377</v>
      </c>
      <c r="E493" s="375">
        <v>9</v>
      </c>
      <c r="F493" s="464">
        <f t="shared" si="46"/>
        <v>0</v>
      </c>
      <c r="G493" s="465">
        <f t="shared" si="47"/>
        <v>144896</v>
      </c>
      <c r="H493" s="466"/>
      <c r="I493" s="482">
        <v>37270</v>
      </c>
      <c r="J493" s="466"/>
      <c r="K493" s="482">
        <v>24982</v>
      </c>
      <c r="L493" s="466"/>
      <c r="M493" s="466"/>
      <c r="N493" s="466"/>
      <c r="O493" s="482">
        <v>82644</v>
      </c>
      <c r="P493" s="467">
        <v>0</v>
      </c>
      <c r="Q493" s="467">
        <v>0</v>
      </c>
      <c r="R493" s="466"/>
      <c r="S493" s="467"/>
      <c r="T493" s="464">
        <f t="shared" si="45"/>
        <v>0</v>
      </c>
      <c r="U493" s="465">
        <f t="shared" si="48"/>
        <v>0</v>
      </c>
      <c r="V493" s="466"/>
      <c r="W493" s="467">
        <v>0</v>
      </c>
      <c r="X493" s="466"/>
      <c r="Y493" s="467">
        <v>0</v>
      </c>
      <c r="Z493" s="466"/>
      <c r="AA493" s="466"/>
      <c r="AB493" s="466"/>
      <c r="AC493" s="467">
        <v>0</v>
      </c>
      <c r="AD493" s="467">
        <v>0</v>
      </c>
      <c r="AE493" s="467">
        <v>0</v>
      </c>
      <c r="AF493" s="466"/>
      <c r="AG493" s="467"/>
    </row>
    <row r="494" spans="1:33" customFormat="1" ht="12.75" customHeight="1">
      <c r="A494" s="375" t="s">
        <v>436</v>
      </c>
      <c r="B494" s="373" t="s">
        <v>857</v>
      </c>
      <c r="C494" s="377"/>
      <c r="D494" s="375">
        <v>229319</v>
      </c>
      <c r="E494" s="375">
        <v>9</v>
      </c>
      <c r="F494" s="464">
        <f t="shared" si="46"/>
        <v>0</v>
      </c>
      <c r="G494" s="465">
        <f t="shared" si="47"/>
        <v>80431</v>
      </c>
      <c r="H494" s="466"/>
      <c r="I494" s="482">
        <v>1776</v>
      </c>
      <c r="J494" s="466"/>
      <c r="K494" s="482">
        <v>1339</v>
      </c>
      <c r="L494" s="466"/>
      <c r="M494" s="466"/>
      <c r="N494" s="466"/>
      <c r="O494" s="482">
        <v>75270</v>
      </c>
      <c r="P494" s="467">
        <v>0</v>
      </c>
      <c r="Q494" s="482">
        <v>2046</v>
      </c>
      <c r="R494" s="466"/>
      <c r="S494" s="467"/>
      <c r="T494" s="464">
        <f t="shared" si="45"/>
        <v>0</v>
      </c>
      <c r="U494" s="465">
        <f t="shared" si="48"/>
        <v>0</v>
      </c>
      <c r="V494" s="466"/>
      <c r="W494" s="467">
        <v>0</v>
      </c>
      <c r="X494" s="466"/>
      <c r="Y494" s="467">
        <v>0</v>
      </c>
      <c r="Z494" s="466"/>
      <c r="AA494" s="466"/>
      <c r="AB494" s="466"/>
      <c r="AC494" s="467">
        <v>0</v>
      </c>
      <c r="AD494" s="467">
        <v>0</v>
      </c>
      <c r="AE494" s="467">
        <v>0</v>
      </c>
      <c r="AF494" s="466"/>
      <c r="AG494" s="467"/>
    </row>
    <row r="495" spans="1:33">
      <c r="A495" s="375" t="s">
        <v>436</v>
      </c>
      <c r="B495" s="373" t="s">
        <v>858</v>
      </c>
      <c r="C495" s="377"/>
      <c r="D495" s="375">
        <v>228680</v>
      </c>
      <c r="E495" s="375">
        <v>9</v>
      </c>
      <c r="F495" s="464">
        <f t="shared" si="46"/>
        <v>0</v>
      </c>
      <c r="G495" s="465">
        <f t="shared" si="47"/>
        <v>88872</v>
      </c>
      <c r="H495" s="466"/>
      <c r="I495" s="482">
        <v>3185</v>
      </c>
      <c r="J495" s="466"/>
      <c r="K495" s="482">
        <v>977</v>
      </c>
      <c r="L495" s="466"/>
      <c r="M495" s="466"/>
      <c r="N495" s="466"/>
      <c r="O495" s="482">
        <v>81911</v>
      </c>
      <c r="P495" s="467">
        <v>0</v>
      </c>
      <c r="Q495" s="482">
        <v>2799</v>
      </c>
      <c r="R495" s="466"/>
      <c r="S495" s="467"/>
      <c r="T495" s="464">
        <f t="shared" si="45"/>
        <v>0</v>
      </c>
      <c r="U495" s="465">
        <f t="shared" si="48"/>
        <v>0</v>
      </c>
      <c r="V495" s="466"/>
      <c r="W495" s="467">
        <v>0</v>
      </c>
      <c r="X495" s="466"/>
      <c r="Y495" s="467">
        <v>0</v>
      </c>
      <c r="Z495" s="466"/>
      <c r="AA495" s="466"/>
      <c r="AB495" s="466"/>
      <c r="AC495" s="467">
        <v>0</v>
      </c>
      <c r="AD495" s="467">
        <v>0</v>
      </c>
      <c r="AE495" s="467">
        <v>0</v>
      </c>
      <c r="AF495" s="466"/>
      <c r="AG495" s="467"/>
    </row>
    <row r="496" spans="1:33" customFormat="1" ht="12.75" customHeight="1">
      <c r="A496" s="375" t="s">
        <v>436</v>
      </c>
      <c r="B496" s="373" t="s">
        <v>859</v>
      </c>
      <c r="C496" s="463" t="s">
        <v>922</v>
      </c>
      <c r="D496" s="375">
        <v>229504</v>
      </c>
      <c r="E496" s="375">
        <v>9</v>
      </c>
      <c r="F496" s="464">
        <f t="shared" si="46"/>
        <v>0</v>
      </c>
      <c r="G496" s="465">
        <f t="shared" si="47"/>
        <v>53493</v>
      </c>
      <c r="H496" s="466"/>
      <c r="I496" s="482">
        <v>7083</v>
      </c>
      <c r="J496" s="466"/>
      <c r="K496" s="482">
        <v>25906</v>
      </c>
      <c r="L496" s="466"/>
      <c r="M496" s="466"/>
      <c r="N496" s="466"/>
      <c r="O496" s="482">
        <v>18529</v>
      </c>
      <c r="P496" s="482">
        <v>1975</v>
      </c>
      <c r="Q496" s="467">
        <v>0</v>
      </c>
      <c r="R496" s="466"/>
      <c r="S496" s="467"/>
      <c r="T496" s="464">
        <f t="shared" si="45"/>
        <v>0</v>
      </c>
      <c r="U496" s="465">
        <f t="shared" si="48"/>
        <v>0</v>
      </c>
      <c r="V496" s="466"/>
      <c r="W496" s="467">
        <v>0</v>
      </c>
      <c r="X496" s="466"/>
      <c r="Y496" s="467">
        <v>0</v>
      </c>
      <c r="Z496" s="466"/>
      <c r="AA496" s="466"/>
      <c r="AB496" s="466"/>
      <c r="AC496" s="467">
        <v>0</v>
      </c>
      <c r="AD496" s="467">
        <v>0</v>
      </c>
      <c r="AE496" s="467">
        <v>0</v>
      </c>
      <c r="AF496" s="466"/>
      <c r="AG496" s="467"/>
    </row>
    <row r="497" spans="1:33" customFormat="1" ht="12.75" customHeight="1">
      <c r="A497" s="375" t="s">
        <v>436</v>
      </c>
      <c r="B497" s="373" t="s">
        <v>860</v>
      </c>
      <c r="C497" s="374"/>
      <c r="D497" s="375">
        <v>229540</v>
      </c>
      <c r="E497" s="375">
        <v>9</v>
      </c>
      <c r="F497" s="464">
        <f t="shared" si="46"/>
        <v>0</v>
      </c>
      <c r="G497" s="465">
        <f t="shared" si="47"/>
        <v>57116</v>
      </c>
      <c r="H497" s="466"/>
      <c r="I497" s="482">
        <v>19347</v>
      </c>
      <c r="J497" s="466"/>
      <c r="K497" s="482">
        <v>1725</v>
      </c>
      <c r="L497" s="466"/>
      <c r="M497" s="466"/>
      <c r="N497" s="466"/>
      <c r="O497" s="482">
        <v>28354</v>
      </c>
      <c r="P497" s="482">
        <v>7690</v>
      </c>
      <c r="Q497" s="467">
        <v>0</v>
      </c>
      <c r="R497" s="466"/>
      <c r="S497" s="467"/>
      <c r="T497" s="464">
        <f t="shared" si="45"/>
        <v>0</v>
      </c>
      <c r="U497" s="465">
        <f t="shared" si="48"/>
        <v>0</v>
      </c>
      <c r="V497" s="466"/>
      <c r="W497" s="467">
        <v>0</v>
      </c>
      <c r="X497" s="466"/>
      <c r="Y497" s="467">
        <v>0</v>
      </c>
      <c r="Z497" s="466"/>
      <c r="AA497" s="466"/>
      <c r="AB497" s="466"/>
      <c r="AC497" s="467">
        <v>0</v>
      </c>
      <c r="AD497" s="467">
        <v>0</v>
      </c>
      <c r="AE497" s="467">
        <v>0</v>
      </c>
      <c r="AF497" s="466"/>
      <c r="AG497" s="467"/>
    </row>
    <row r="498" spans="1:33" customFormat="1" ht="12.75" customHeight="1">
      <c r="A498" s="375" t="s">
        <v>436</v>
      </c>
      <c r="B498" s="373" t="s">
        <v>861</v>
      </c>
      <c r="C498" s="374"/>
      <c r="D498" s="375">
        <v>229799</v>
      </c>
      <c r="E498" s="375">
        <v>9</v>
      </c>
      <c r="F498" s="464">
        <f t="shared" si="46"/>
        <v>0</v>
      </c>
      <c r="G498" s="465">
        <f t="shared" si="47"/>
        <v>104886</v>
      </c>
      <c r="H498" s="466"/>
      <c r="I498" s="482">
        <v>40780</v>
      </c>
      <c r="J498" s="466"/>
      <c r="K498" s="482">
        <v>16034</v>
      </c>
      <c r="L498" s="466"/>
      <c r="M498" s="466"/>
      <c r="N498" s="466"/>
      <c r="O498" s="482">
        <v>48033</v>
      </c>
      <c r="P498" s="482">
        <v>39</v>
      </c>
      <c r="Q498" s="467">
        <v>0</v>
      </c>
      <c r="R498" s="466"/>
      <c r="S498" s="467"/>
      <c r="T498" s="464">
        <f t="shared" si="45"/>
        <v>0</v>
      </c>
      <c r="U498" s="465">
        <f t="shared" si="48"/>
        <v>0</v>
      </c>
      <c r="V498" s="466"/>
      <c r="W498" s="467">
        <v>0</v>
      </c>
      <c r="X498" s="466"/>
      <c r="Y498" s="467">
        <v>0</v>
      </c>
      <c r="Z498" s="466"/>
      <c r="AA498" s="466"/>
      <c r="AB498" s="466"/>
      <c r="AC498" s="467">
        <v>0</v>
      </c>
      <c r="AD498" s="467">
        <v>0</v>
      </c>
      <c r="AE498" s="467">
        <v>0</v>
      </c>
      <c r="AF498" s="466"/>
      <c r="AG498" s="467"/>
    </row>
    <row r="499" spans="1:33">
      <c r="A499" s="375" t="s">
        <v>436</v>
      </c>
      <c r="B499" s="373" t="s">
        <v>862</v>
      </c>
      <c r="C499" s="374"/>
      <c r="D499" s="375">
        <v>229841</v>
      </c>
      <c r="E499" s="375">
        <v>9</v>
      </c>
      <c r="F499" s="464">
        <f t="shared" si="46"/>
        <v>0</v>
      </c>
      <c r="G499" s="465">
        <f t="shared" si="47"/>
        <v>133573</v>
      </c>
      <c r="H499" s="466"/>
      <c r="I499" s="482">
        <v>19374</v>
      </c>
      <c r="J499" s="466"/>
      <c r="K499" s="482">
        <v>38638</v>
      </c>
      <c r="L499" s="466"/>
      <c r="M499" s="466"/>
      <c r="N499" s="466"/>
      <c r="O499" s="482">
        <v>74697</v>
      </c>
      <c r="P499" s="482">
        <v>864</v>
      </c>
      <c r="Q499" s="467">
        <v>0</v>
      </c>
      <c r="R499" s="466"/>
      <c r="S499" s="467"/>
      <c r="T499" s="464">
        <f t="shared" si="45"/>
        <v>0</v>
      </c>
      <c r="U499" s="465">
        <f t="shared" si="48"/>
        <v>0</v>
      </c>
      <c r="V499" s="466"/>
      <c r="W499" s="467">
        <v>0</v>
      </c>
      <c r="X499" s="466"/>
      <c r="Y499" s="467">
        <v>0</v>
      </c>
      <c r="Z499" s="466"/>
      <c r="AA499" s="466"/>
      <c r="AB499" s="466"/>
      <c r="AC499" s="467">
        <v>0</v>
      </c>
      <c r="AD499" s="467">
        <v>0</v>
      </c>
      <c r="AE499" s="467">
        <v>0</v>
      </c>
      <c r="AF499" s="466"/>
      <c r="AG499" s="467"/>
    </row>
    <row r="500" spans="1:33">
      <c r="A500" s="375" t="s">
        <v>436</v>
      </c>
      <c r="B500" s="373" t="s">
        <v>863</v>
      </c>
      <c r="C500" s="374"/>
      <c r="D500" s="375">
        <v>223922</v>
      </c>
      <c r="E500" s="375">
        <v>10</v>
      </c>
      <c r="F500" s="464">
        <f t="shared" si="46"/>
        <v>0</v>
      </c>
      <c r="G500" s="465">
        <f t="shared" si="47"/>
        <v>29010</v>
      </c>
      <c r="H500" s="466"/>
      <c r="I500" s="482">
        <v>7801</v>
      </c>
      <c r="J500" s="466"/>
      <c r="K500" s="482">
        <v>7308</v>
      </c>
      <c r="L500" s="466"/>
      <c r="M500" s="466"/>
      <c r="N500" s="466"/>
      <c r="O500" s="482">
        <v>13764</v>
      </c>
      <c r="P500" s="482">
        <v>137</v>
      </c>
      <c r="Q500" s="467">
        <v>0</v>
      </c>
      <c r="R500" s="466"/>
      <c r="S500" s="467"/>
      <c r="T500" s="464">
        <f t="shared" si="45"/>
        <v>0</v>
      </c>
      <c r="U500" s="465">
        <f t="shared" si="48"/>
        <v>0</v>
      </c>
      <c r="V500" s="466"/>
      <c r="W500" s="467">
        <v>0</v>
      </c>
      <c r="X500" s="466"/>
      <c r="Y500" s="467">
        <v>0</v>
      </c>
      <c r="Z500" s="466"/>
      <c r="AA500" s="466"/>
      <c r="AB500" s="466"/>
      <c r="AC500" s="467">
        <v>0</v>
      </c>
      <c r="AD500" s="467">
        <v>0</v>
      </c>
      <c r="AE500" s="467">
        <v>0</v>
      </c>
      <c r="AF500" s="466"/>
      <c r="AG500" s="467"/>
    </row>
    <row r="501" spans="1:33" customFormat="1" ht="12.75" customHeight="1">
      <c r="A501" s="375" t="s">
        <v>436</v>
      </c>
      <c r="B501" s="373" t="s">
        <v>864</v>
      </c>
      <c r="C501" s="374"/>
      <c r="D501" s="375">
        <v>224891</v>
      </c>
      <c r="E501" s="375">
        <v>10</v>
      </c>
      <c r="F501" s="464">
        <f t="shared" si="46"/>
        <v>0</v>
      </c>
      <c r="G501" s="465">
        <f t="shared" si="47"/>
        <v>28407</v>
      </c>
      <c r="H501" s="466"/>
      <c r="I501" s="482">
        <v>12824</v>
      </c>
      <c r="J501" s="466"/>
      <c r="K501" s="482">
        <v>2795</v>
      </c>
      <c r="L501" s="466"/>
      <c r="M501" s="466"/>
      <c r="N501" s="466"/>
      <c r="O501" s="482">
        <v>11241</v>
      </c>
      <c r="P501" s="482">
        <v>512</v>
      </c>
      <c r="Q501" s="482">
        <v>1035</v>
      </c>
      <c r="R501" s="466"/>
      <c r="S501" s="467"/>
      <c r="T501" s="464">
        <f t="shared" ref="T501:T502" si="49">SUM(V501,X500,Z501,AA501,AB501,AF501)</f>
        <v>0</v>
      </c>
      <c r="U501" s="465">
        <f t="shared" si="48"/>
        <v>0</v>
      </c>
      <c r="V501" s="466"/>
      <c r="W501" s="467">
        <v>0</v>
      </c>
      <c r="X501" s="466"/>
      <c r="Y501" s="467">
        <v>0</v>
      </c>
      <c r="Z501" s="466"/>
      <c r="AA501" s="466"/>
      <c r="AB501" s="466"/>
      <c r="AC501" s="467">
        <v>0</v>
      </c>
      <c r="AD501" s="467">
        <v>0</v>
      </c>
      <c r="AE501" s="467">
        <v>0</v>
      </c>
      <c r="AF501" s="466"/>
      <c r="AG501" s="467"/>
    </row>
    <row r="502" spans="1:33" customFormat="1" ht="12.75" customHeight="1">
      <c r="A502" s="375" t="s">
        <v>436</v>
      </c>
      <c r="B502" s="373" t="s">
        <v>865</v>
      </c>
      <c r="C502" s="374"/>
      <c r="D502" s="375">
        <v>224961</v>
      </c>
      <c r="E502" s="375">
        <v>10</v>
      </c>
      <c r="F502" s="464">
        <f t="shared" si="46"/>
        <v>0</v>
      </c>
      <c r="G502" s="465">
        <f t="shared" si="47"/>
        <v>44725</v>
      </c>
      <c r="H502" s="466"/>
      <c r="I502" s="482">
        <v>17154</v>
      </c>
      <c r="J502" s="466"/>
      <c r="K502" s="482">
        <v>66</v>
      </c>
      <c r="L502" s="466"/>
      <c r="M502" s="466"/>
      <c r="N502" s="466"/>
      <c r="O502" s="482">
        <v>27505</v>
      </c>
      <c r="P502" s="467">
        <v>0</v>
      </c>
      <c r="Q502" s="467">
        <v>0</v>
      </c>
      <c r="R502" s="466"/>
      <c r="S502" s="467"/>
      <c r="T502" s="464">
        <f t="shared" si="49"/>
        <v>0</v>
      </c>
      <c r="U502" s="465">
        <f t="shared" si="48"/>
        <v>0</v>
      </c>
      <c r="V502" s="466"/>
      <c r="W502" s="467">
        <v>0</v>
      </c>
      <c r="X502" s="466"/>
      <c r="Y502" s="467">
        <v>0</v>
      </c>
      <c r="Z502" s="466"/>
      <c r="AA502" s="466"/>
      <c r="AB502" s="466"/>
      <c r="AC502" s="467">
        <v>0</v>
      </c>
      <c r="AD502" s="467">
        <v>0</v>
      </c>
      <c r="AE502" s="467">
        <v>0</v>
      </c>
      <c r="AF502" s="466"/>
      <c r="AG502" s="467"/>
    </row>
    <row r="503" spans="1:33">
      <c r="A503" s="375" t="s">
        <v>436</v>
      </c>
      <c r="B503" s="373" t="s">
        <v>866</v>
      </c>
      <c r="C503" s="374"/>
      <c r="D503" s="375">
        <v>226107</v>
      </c>
      <c r="E503" s="375">
        <v>10</v>
      </c>
      <c r="F503" s="464">
        <f t="shared" si="46"/>
        <v>0</v>
      </c>
      <c r="G503" s="465">
        <f t="shared" si="47"/>
        <v>48327</v>
      </c>
      <c r="H503" s="466"/>
      <c r="I503" s="482">
        <v>17520</v>
      </c>
      <c r="J503" s="466"/>
      <c r="K503" s="482">
        <v>2349</v>
      </c>
      <c r="L503" s="466"/>
      <c r="M503" s="466"/>
      <c r="N503" s="466"/>
      <c r="O503" s="482">
        <v>28458</v>
      </c>
      <c r="P503" s="467">
        <v>0</v>
      </c>
      <c r="Q503" s="467">
        <v>0</v>
      </c>
      <c r="R503" s="466"/>
      <c r="S503" s="467"/>
      <c r="T503" s="464">
        <f>SUM(V503,X503,Z503,AA503,AB503,AF503)</f>
        <v>0</v>
      </c>
      <c r="U503" s="465">
        <f t="shared" si="48"/>
        <v>0</v>
      </c>
      <c r="V503" s="466"/>
      <c r="W503" s="467">
        <v>0</v>
      </c>
      <c r="X503" s="466"/>
      <c r="Y503" s="467">
        <v>0</v>
      </c>
      <c r="Z503" s="466"/>
      <c r="AA503" s="466"/>
      <c r="AB503" s="466"/>
      <c r="AC503" s="467">
        <v>0</v>
      </c>
      <c r="AD503" s="467">
        <v>0</v>
      </c>
      <c r="AE503" s="467">
        <v>0</v>
      </c>
      <c r="AF503" s="466"/>
      <c r="AG503" s="467"/>
    </row>
    <row r="504" spans="1:33" customFormat="1" ht="12.75" customHeight="1">
      <c r="A504" s="375" t="s">
        <v>436</v>
      </c>
      <c r="B504" s="373" t="s">
        <v>867</v>
      </c>
      <c r="C504" s="389" t="s">
        <v>733</v>
      </c>
      <c r="D504" s="375">
        <v>226116</v>
      </c>
      <c r="E504" s="375">
        <v>10</v>
      </c>
      <c r="F504" s="464">
        <f t="shared" si="46"/>
        <v>0</v>
      </c>
      <c r="G504" s="465">
        <f t="shared" si="47"/>
        <v>54149</v>
      </c>
      <c r="H504" s="466"/>
      <c r="I504" s="482">
        <v>19743</v>
      </c>
      <c r="J504" s="466"/>
      <c r="K504" s="482">
        <v>6412</v>
      </c>
      <c r="L504" s="466"/>
      <c r="M504" s="466"/>
      <c r="N504" s="466"/>
      <c r="O504" s="482">
        <v>27994</v>
      </c>
      <c r="P504" s="467">
        <v>0</v>
      </c>
      <c r="Q504" s="467">
        <v>0</v>
      </c>
      <c r="R504" s="466"/>
      <c r="S504" s="467"/>
      <c r="T504" s="464">
        <f>SUM(V504,X503,Z504,AA504,AB504,AF504)</f>
        <v>0</v>
      </c>
      <c r="U504" s="465">
        <f t="shared" si="48"/>
        <v>0</v>
      </c>
      <c r="V504" s="466"/>
      <c r="W504" s="467">
        <v>0</v>
      </c>
      <c r="X504" s="466"/>
      <c r="Y504" s="467">
        <v>0</v>
      </c>
      <c r="Z504" s="466"/>
      <c r="AA504" s="466"/>
      <c r="AB504" s="466"/>
      <c r="AC504" s="467">
        <v>0</v>
      </c>
      <c r="AD504" s="467">
        <v>0</v>
      </c>
      <c r="AE504" s="467">
        <v>0</v>
      </c>
      <c r="AF504" s="466"/>
      <c r="AG504" s="467"/>
    </row>
    <row r="505" spans="1:33" customFormat="1" ht="12.75" customHeight="1">
      <c r="A505" s="375" t="s">
        <v>436</v>
      </c>
      <c r="B505" s="373" t="s">
        <v>868</v>
      </c>
      <c r="C505" s="442" t="s">
        <v>905</v>
      </c>
      <c r="D505" s="46">
        <v>488730</v>
      </c>
      <c r="E505" s="445">
        <v>9</v>
      </c>
      <c r="F505" s="464">
        <f t="shared" si="46"/>
        <v>0</v>
      </c>
      <c r="G505" s="465">
        <f t="shared" si="47"/>
        <v>102345</v>
      </c>
      <c r="H505" s="466"/>
      <c r="I505" s="482">
        <v>68266</v>
      </c>
      <c r="J505" s="466"/>
      <c r="K505" s="482">
        <v>1161</v>
      </c>
      <c r="L505" s="466"/>
      <c r="M505" s="466"/>
      <c r="N505" s="466"/>
      <c r="O505" s="482">
        <v>32918</v>
      </c>
      <c r="P505" s="467">
        <v>0</v>
      </c>
      <c r="Q505" s="467">
        <v>0</v>
      </c>
      <c r="R505" s="466"/>
      <c r="S505" s="467"/>
      <c r="T505" s="464">
        <f t="shared" ref="T505:T568" si="50">SUM(V505,X505,Z505,AA505,AB505,AF505)</f>
        <v>0</v>
      </c>
      <c r="U505" s="465">
        <f t="shared" si="48"/>
        <v>0</v>
      </c>
      <c r="V505" s="466"/>
      <c r="W505" s="467">
        <v>0</v>
      </c>
      <c r="X505" s="466"/>
      <c r="Y505" s="467">
        <v>0</v>
      </c>
      <c r="Z505" s="466"/>
      <c r="AA505" s="466"/>
      <c r="AB505" s="466"/>
      <c r="AC505" s="467">
        <v>0</v>
      </c>
      <c r="AD505" s="467">
        <v>0</v>
      </c>
      <c r="AE505" s="467">
        <v>0</v>
      </c>
      <c r="AF505" s="466"/>
      <c r="AG505" s="467"/>
    </row>
    <row r="506" spans="1:33" customFormat="1" ht="12.75" customHeight="1">
      <c r="A506" s="375" t="s">
        <v>436</v>
      </c>
      <c r="B506" s="373" t="s">
        <v>869</v>
      </c>
      <c r="C506" s="374"/>
      <c r="D506" s="375">
        <v>227386</v>
      </c>
      <c r="E506" s="375">
        <v>10</v>
      </c>
      <c r="F506" s="464">
        <f t="shared" si="46"/>
        <v>0</v>
      </c>
      <c r="G506" s="465">
        <f t="shared" si="47"/>
        <v>48742</v>
      </c>
      <c r="H506" s="466"/>
      <c r="I506" s="482">
        <v>15598</v>
      </c>
      <c r="J506" s="466"/>
      <c r="K506" s="482">
        <v>6660</v>
      </c>
      <c r="L506" s="466"/>
      <c r="M506" s="466"/>
      <c r="N506" s="466"/>
      <c r="O506" s="482">
        <v>26346</v>
      </c>
      <c r="P506" s="482">
        <v>138</v>
      </c>
      <c r="Q506" s="467">
        <v>0</v>
      </c>
      <c r="R506" s="466"/>
      <c r="S506" s="467"/>
      <c r="T506" s="464">
        <f t="shared" si="50"/>
        <v>0</v>
      </c>
      <c r="U506" s="465">
        <f t="shared" si="48"/>
        <v>0</v>
      </c>
      <c r="V506" s="466"/>
      <c r="W506" s="467">
        <v>0</v>
      </c>
      <c r="X506" s="466"/>
      <c r="Y506" s="467">
        <v>0</v>
      </c>
      <c r="Z506" s="466"/>
      <c r="AA506" s="466"/>
      <c r="AB506" s="466"/>
      <c r="AC506" s="467">
        <v>0</v>
      </c>
      <c r="AD506" s="467">
        <v>0</v>
      </c>
      <c r="AE506" s="467">
        <v>0</v>
      </c>
      <c r="AF506" s="466"/>
      <c r="AG506" s="467"/>
    </row>
    <row r="507" spans="1:33" customFormat="1" ht="12.75" customHeight="1">
      <c r="A507" s="375" t="s">
        <v>436</v>
      </c>
      <c r="B507" s="373" t="s">
        <v>870</v>
      </c>
      <c r="C507" s="374"/>
      <c r="D507" s="375">
        <v>227687</v>
      </c>
      <c r="E507" s="375">
        <v>10</v>
      </c>
      <c r="F507" s="464">
        <f t="shared" si="46"/>
        <v>0</v>
      </c>
      <c r="G507" s="465">
        <f t="shared" si="47"/>
        <v>44838</v>
      </c>
      <c r="H507" s="466"/>
      <c r="I507" s="482">
        <v>8671</v>
      </c>
      <c r="J507" s="466"/>
      <c r="K507" s="482">
        <v>17220</v>
      </c>
      <c r="L507" s="466"/>
      <c r="M507" s="466"/>
      <c r="N507" s="466"/>
      <c r="O507" s="482">
        <v>17837</v>
      </c>
      <c r="P507" s="482">
        <v>1110</v>
      </c>
      <c r="Q507" s="467">
        <v>0</v>
      </c>
      <c r="R507" s="466"/>
      <c r="S507" s="467"/>
      <c r="T507" s="464">
        <f t="shared" si="50"/>
        <v>0</v>
      </c>
      <c r="U507" s="465">
        <f t="shared" si="48"/>
        <v>0</v>
      </c>
      <c r="V507" s="466"/>
      <c r="W507" s="467">
        <v>0</v>
      </c>
      <c r="X507" s="466"/>
      <c r="Y507" s="467">
        <v>0</v>
      </c>
      <c r="Z507" s="466"/>
      <c r="AA507" s="466"/>
      <c r="AB507" s="466"/>
      <c r="AC507" s="467">
        <v>0</v>
      </c>
      <c r="AD507" s="467">
        <v>0</v>
      </c>
      <c r="AE507" s="467">
        <v>0</v>
      </c>
      <c r="AF507" s="466"/>
      <c r="AG507" s="467"/>
    </row>
    <row r="508" spans="1:33" customFormat="1" ht="12.75" customHeight="1">
      <c r="A508" s="375" t="s">
        <v>436</v>
      </c>
      <c r="B508" s="373" t="s">
        <v>871</v>
      </c>
      <c r="C508" s="374"/>
      <c r="D508" s="375">
        <v>382911</v>
      </c>
      <c r="E508" s="375">
        <v>10</v>
      </c>
      <c r="F508" s="464">
        <f t="shared" si="46"/>
        <v>0</v>
      </c>
      <c r="G508" s="465">
        <f t="shared" si="47"/>
        <v>1096</v>
      </c>
      <c r="H508" s="466"/>
      <c r="I508" s="482">
        <v>767</v>
      </c>
      <c r="J508" s="466"/>
      <c r="K508" s="482">
        <v>60</v>
      </c>
      <c r="L508" s="466"/>
      <c r="M508" s="466"/>
      <c r="N508" s="466"/>
      <c r="O508" s="482">
        <v>18</v>
      </c>
      <c r="P508" s="482">
        <v>251</v>
      </c>
      <c r="Q508" s="467">
        <v>0</v>
      </c>
      <c r="R508" s="466"/>
      <c r="S508" s="467"/>
      <c r="T508" s="464">
        <f t="shared" si="50"/>
        <v>0</v>
      </c>
      <c r="U508" s="465">
        <f t="shared" si="48"/>
        <v>0</v>
      </c>
      <c r="V508" s="466"/>
      <c r="W508" s="467">
        <v>0</v>
      </c>
      <c r="X508" s="466"/>
      <c r="Y508" s="467">
        <v>0</v>
      </c>
      <c r="Z508" s="466"/>
      <c r="AA508" s="466"/>
      <c r="AB508" s="466"/>
      <c r="AC508" s="467">
        <v>0</v>
      </c>
      <c r="AD508" s="467">
        <v>0</v>
      </c>
      <c r="AE508" s="467">
        <v>0</v>
      </c>
      <c r="AF508" s="466"/>
      <c r="AG508" s="467"/>
    </row>
    <row r="509" spans="1:33" customFormat="1" ht="12.75" customHeight="1">
      <c r="A509" s="375" t="s">
        <v>436</v>
      </c>
      <c r="B509" s="388" t="s">
        <v>872</v>
      </c>
      <c r="C509" s="374"/>
      <c r="D509" s="378" t="s">
        <v>437</v>
      </c>
      <c r="E509" s="375">
        <v>10</v>
      </c>
      <c r="F509" s="464">
        <f t="shared" si="46"/>
        <v>0</v>
      </c>
      <c r="G509" s="465">
        <f t="shared" si="47"/>
        <v>12482</v>
      </c>
      <c r="H509" s="466"/>
      <c r="I509" s="482">
        <v>178</v>
      </c>
      <c r="J509" s="466"/>
      <c r="K509" s="482">
        <v>80</v>
      </c>
      <c r="L509" s="466"/>
      <c r="M509" s="466"/>
      <c r="N509" s="466"/>
      <c r="O509" s="482">
        <v>11538</v>
      </c>
      <c r="P509" s="467">
        <v>0</v>
      </c>
      <c r="Q509" s="482">
        <v>686</v>
      </c>
      <c r="R509" s="466"/>
      <c r="S509" s="467"/>
      <c r="T509" s="464">
        <f t="shared" si="50"/>
        <v>0</v>
      </c>
      <c r="U509" s="465">
        <f t="shared" si="48"/>
        <v>0</v>
      </c>
      <c r="V509" s="466"/>
      <c r="W509" s="467">
        <v>0</v>
      </c>
      <c r="X509" s="466"/>
      <c r="Y509" s="467">
        <v>0</v>
      </c>
      <c r="Z509" s="466"/>
      <c r="AA509" s="466"/>
      <c r="AB509" s="466"/>
      <c r="AC509" s="467">
        <v>0</v>
      </c>
      <c r="AD509" s="467">
        <v>0</v>
      </c>
      <c r="AE509" s="467">
        <v>0</v>
      </c>
      <c r="AF509" s="466"/>
      <c r="AG509" s="467"/>
    </row>
    <row r="510" spans="1:33" customFormat="1" ht="12.75" customHeight="1">
      <c r="A510" s="375" t="s">
        <v>436</v>
      </c>
      <c r="B510" s="373" t="s">
        <v>873</v>
      </c>
      <c r="C510" s="374"/>
      <c r="D510" s="375">
        <v>408394</v>
      </c>
      <c r="E510" s="375">
        <v>10</v>
      </c>
      <c r="F510" s="464">
        <f t="shared" si="46"/>
        <v>0</v>
      </c>
      <c r="G510" s="465">
        <f t="shared" si="47"/>
        <v>13125</v>
      </c>
      <c r="H510" s="466"/>
      <c r="I510" s="482">
        <v>315</v>
      </c>
      <c r="J510" s="466"/>
      <c r="K510" s="482">
        <v>159</v>
      </c>
      <c r="L510" s="466"/>
      <c r="M510" s="466"/>
      <c r="N510" s="466"/>
      <c r="O510" s="482">
        <v>11468</v>
      </c>
      <c r="P510" s="467">
        <v>0</v>
      </c>
      <c r="Q510" s="482">
        <v>1183</v>
      </c>
      <c r="R510" s="466"/>
      <c r="S510" s="467"/>
      <c r="T510" s="464">
        <f t="shared" si="50"/>
        <v>0</v>
      </c>
      <c r="U510" s="465">
        <f t="shared" si="48"/>
        <v>0</v>
      </c>
      <c r="V510" s="466"/>
      <c r="W510" s="467">
        <v>0</v>
      </c>
      <c r="X510" s="466"/>
      <c r="Y510" s="467">
        <v>0</v>
      </c>
      <c r="Z510" s="466"/>
      <c r="AA510" s="466"/>
      <c r="AB510" s="466"/>
      <c r="AC510" s="467">
        <v>0</v>
      </c>
      <c r="AD510" s="467">
        <v>0</v>
      </c>
      <c r="AE510" s="467">
        <v>0</v>
      </c>
      <c r="AF510" s="466"/>
      <c r="AG510" s="467"/>
    </row>
    <row r="511" spans="1:33" customFormat="1" ht="12.75" customHeight="1">
      <c r="A511" s="375" t="s">
        <v>436</v>
      </c>
      <c r="B511" s="388" t="s">
        <v>874</v>
      </c>
      <c r="C511" s="374"/>
      <c r="D511" s="378" t="s">
        <v>437</v>
      </c>
      <c r="E511" s="375">
        <v>10</v>
      </c>
      <c r="F511" s="464">
        <f t="shared" si="46"/>
        <v>0</v>
      </c>
      <c r="G511" s="465">
        <f t="shared" si="47"/>
        <v>5856</v>
      </c>
      <c r="H511" s="466"/>
      <c r="I511" s="467">
        <v>0</v>
      </c>
      <c r="J511" s="466"/>
      <c r="K511" s="482">
        <v>207</v>
      </c>
      <c r="L511" s="466"/>
      <c r="M511" s="466"/>
      <c r="N511" s="466"/>
      <c r="O511" s="482">
        <v>5388</v>
      </c>
      <c r="P511" s="467">
        <v>0</v>
      </c>
      <c r="Q511" s="482">
        <v>261</v>
      </c>
      <c r="R511" s="466"/>
      <c r="S511" s="467"/>
      <c r="T511" s="464">
        <f t="shared" si="50"/>
        <v>0</v>
      </c>
      <c r="U511" s="465">
        <f t="shared" si="48"/>
        <v>0</v>
      </c>
      <c r="V511" s="466"/>
      <c r="W511" s="467">
        <v>0</v>
      </c>
      <c r="X511" s="466"/>
      <c r="Y511" s="467">
        <v>0</v>
      </c>
      <c r="Z511" s="466"/>
      <c r="AA511" s="466"/>
      <c r="AB511" s="466"/>
      <c r="AC511" s="467">
        <v>0</v>
      </c>
      <c r="AD511" s="467">
        <v>0</v>
      </c>
      <c r="AE511" s="467">
        <v>0</v>
      </c>
      <c r="AF511" s="466"/>
      <c r="AG511" s="467"/>
    </row>
    <row r="512" spans="1:33" customFormat="1" ht="12.75" customHeight="1">
      <c r="A512" s="375" t="s">
        <v>436</v>
      </c>
      <c r="B512" s="373" t="s">
        <v>875</v>
      </c>
      <c r="C512" s="374"/>
      <c r="D512" s="375">
        <v>229328</v>
      </c>
      <c r="E512" s="375">
        <v>10</v>
      </c>
      <c r="F512" s="464">
        <f t="shared" si="46"/>
        <v>0</v>
      </c>
      <c r="G512" s="465">
        <f t="shared" si="47"/>
        <v>32847</v>
      </c>
      <c r="H512" s="466"/>
      <c r="I512" s="482">
        <v>1424</v>
      </c>
      <c r="J512" s="466"/>
      <c r="K512" s="482">
        <v>2727</v>
      </c>
      <c r="L512" s="466"/>
      <c r="M512" s="466"/>
      <c r="N512" s="466"/>
      <c r="O512" s="482">
        <v>27548</v>
      </c>
      <c r="P512" s="467">
        <v>0</v>
      </c>
      <c r="Q512" s="482">
        <v>1148</v>
      </c>
      <c r="R512" s="466"/>
      <c r="S512" s="467"/>
      <c r="T512" s="464">
        <f t="shared" si="50"/>
        <v>0</v>
      </c>
      <c r="U512" s="465">
        <f t="shared" si="48"/>
        <v>0</v>
      </c>
      <c r="V512" s="466"/>
      <c r="W512" s="467">
        <v>0</v>
      </c>
      <c r="X512" s="466"/>
      <c r="Y512" s="467">
        <v>0</v>
      </c>
      <c r="Z512" s="466"/>
      <c r="AA512" s="466"/>
      <c r="AB512" s="466"/>
      <c r="AC512" s="467">
        <v>0</v>
      </c>
      <c r="AD512" s="467">
        <v>0</v>
      </c>
      <c r="AE512" s="467">
        <v>0</v>
      </c>
      <c r="AF512" s="466"/>
      <c r="AG512" s="467"/>
    </row>
    <row r="513" spans="1:33">
      <c r="A513" s="375" t="s">
        <v>436</v>
      </c>
      <c r="B513" s="373" t="s">
        <v>876</v>
      </c>
      <c r="C513" s="374"/>
      <c r="D513" s="375">
        <v>229832</v>
      </c>
      <c r="E513" s="375">
        <v>10</v>
      </c>
      <c r="F513" s="464">
        <f t="shared" si="46"/>
        <v>0</v>
      </c>
      <c r="G513" s="465">
        <f t="shared" si="47"/>
        <v>35425</v>
      </c>
      <c r="H513" s="466"/>
      <c r="I513" s="482">
        <v>10949</v>
      </c>
      <c r="J513" s="466"/>
      <c r="K513" s="482">
        <v>3089</v>
      </c>
      <c r="L513" s="466"/>
      <c r="M513" s="466"/>
      <c r="N513" s="466"/>
      <c r="O513" s="482">
        <v>20364</v>
      </c>
      <c r="P513" s="482">
        <v>1023</v>
      </c>
      <c r="Q513" s="467">
        <v>0</v>
      </c>
      <c r="R513" s="466"/>
      <c r="S513" s="467"/>
      <c r="T513" s="464">
        <f t="shared" si="50"/>
        <v>0</v>
      </c>
      <c r="U513" s="465">
        <f t="shared" si="48"/>
        <v>0</v>
      </c>
      <c r="V513" s="466"/>
      <c r="W513" s="467">
        <v>0</v>
      </c>
      <c r="X513" s="466"/>
      <c r="Y513" s="467">
        <v>0</v>
      </c>
      <c r="Z513" s="466"/>
      <c r="AA513" s="466"/>
      <c r="AB513" s="466"/>
      <c r="AC513" s="467">
        <v>0</v>
      </c>
      <c r="AD513" s="467">
        <v>0</v>
      </c>
      <c r="AE513" s="467">
        <v>0</v>
      </c>
      <c r="AF513" s="466"/>
      <c r="AG513" s="467"/>
    </row>
    <row r="514" spans="1:33">
      <c r="A514" s="375" t="s">
        <v>436</v>
      </c>
      <c r="B514" s="373" t="s">
        <v>877</v>
      </c>
      <c r="C514" s="374"/>
      <c r="D514" s="375">
        <v>484905</v>
      </c>
      <c r="E514" s="375">
        <v>4</v>
      </c>
      <c r="F514" s="464">
        <f t="shared" si="46"/>
        <v>0</v>
      </c>
      <c r="G514" s="465">
        <f t="shared" si="47"/>
        <v>79775</v>
      </c>
      <c r="H514" s="466"/>
      <c r="I514" s="482">
        <v>38350</v>
      </c>
      <c r="J514" s="466"/>
      <c r="K514" s="467">
        <v>0</v>
      </c>
      <c r="L514" s="466"/>
      <c r="M514" s="466"/>
      <c r="N514" s="466"/>
      <c r="O514" s="482">
        <v>41181</v>
      </c>
      <c r="P514" s="467">
        <v>0</v>
      </c>
      <c r="Q514" s="482">
        <v>244</v>
      </c>
      <c r="R514" s="466"/>
      <c r="S514" s="467"/>
      <c r="T514" s="464">
        <f t="shared" si="50"/>
        <v>0</v>
      </c>
      <c r="U514" s="465">
        <f t="shared" si="48"/>
        <v>17267</v>
      </c>
      <c r="V514" s="466"/>
      <c r="W514" s="482">
        <v>6844</v>
      </c>
      <c r="X514" s="466"/>
      <c r="Y514" s="482">
        <v>4976</v>
      </c>
      <c r="Z514" s="466"/>
      <c r="AA514" s="466"/>
      <c r="AB514" s="466"/>
      <c r="AC514" s="482">
        <v>5447</v>
      </c>
      <c r="AD514" s="467">
        <v>0</v>
      </c>
      <c r="AE514" s="467">
        <v>0</v>
      </c>
      <c r="AF514" s="466"/>
      <c r="AG514" s="467"/>
    </row>
    <row r="515" spans="1:33" ht="12.5">
      <c r="A515" s="375" t="s">
        <v>436</v>
      </c>
      <c r="B515" s="446" t="s">
        <v>906</v>
      </c>
      <c r="C515" s="46" t="s">
        <v>907</v>
      </c>
      <c r="D515" s="447">
        <v>224615</v>
      </c>
      <c r="E515" s="448">
        <v>10</v>
      </c>
      <c r="F515" s="464">
        <f t="shared" si="46"/>
        <v>0</v>
      </c>
      <c r="G515" s="465">
        <f t="shared" si="47"/>
        <v>380470</v>
      </c>
      <c r="H515" s="466"/>
      <c r="I515" s="482">
        <v>2765</v>
      </c>
      <c r="J515" s="466"/>
      <c r="K515" s="482">
        <v>675</v>
      </c>
      <c r="L515" s="466"/>
      <c r="M515" s="466"/>
      <c r="N515" s="466"/>
      <c r="O515" s="482">
        <v>377024</v>
      </c>
      <c r="P515" s="467">
        <v>0</v>
      </c>
      <c r="Q515" s="482">
        <v>6</v>
      </c>
      <c r="R515" s="466"/>
      <c r="S515" s="467"/>
      <c r="T515" s="464">
        <f t="shared" si="50"/>
        <v>0</v>
      </c>
      <c r="U515" s="465">
        <f t="shared" si="48"/>
        <v>0</v>
      </c>
      <c r="V515" s="466"/>
      <c r="W515" s="467">
        <v>0</v>
      </c>
      <c r="X515" s="466"/>
      <c r="Y515" s="467">
        <v>0</v>
      </c>
      <c r="Z515" s="466"/>
      <c r="AA515" s="466"/>
      <c r="AB515" s="466"/>
      <c r="AC515" s="467">
        <v>0</v>
      </c>
      <c r="AD515" s="467">
        <v>0</v>
      </c>
      <c r="AE515" s="467">
        <v>0</v>
      </c>
      <c r="AF515" s="466"/>
      <c r="AG515" s="467"/>
    </row>
    <row r="516" spans="1:33" s="14" customFormat="1" ht="15.75" customHeight="1">
      <c r="A516" s="350" t="s">
        <v>438</v>
      </c>
      <c r="B516" s="392" t="s">
        <v>439</v>
      </c>
      <c r="C516" s="393"/>
      <c r="D516" s="392">
        <v>232186</v>
      </c>
      <c r="E516" s="394">
        <v>1</v>
      </c>
      <c r="F516" s="464">
        <f t="shared" si="46"/>
        <v>746601.5</v>
      </c>
      <c r="G516" s="465">
        <f t="shared" si="47"/>
        <v>759225.5</v>
      </c>
      <c r="H516" s="466">
        <v>623229.5</v>
      </c>
      <c r="I516" s="467">
        <v>330381.5</v>
      </c>
      <c r="J516" s="466">
        <v>18049</v>
      </c>
      <c r="K516" s="467">
        <v>18097</v>
      </c>
      <c r="L516" s="466">
        <v>101225</v>
      </c>
      <c r="M516" s="466">
        <v>4098</v>
      </c>
      <c r="N516" s="466">
        <v>0</v>
      </c>
      <c r="O516" s="467">
        <v>404189</v>
      </c>
      <c r="P516" s="467">
        <v>6558</v>
      </c>
      <c r="Q516" s="467">
        <v>0</v>
      </c>
      <c r="R516" s="466"/>
      <c r="S516" s="467"/>
      <c r="T516" s="464">
        <f t="shared" si="50"/>
        <v>170295</v>
      </c>
      <c r="U516" s="465">
        <f t="shared" si="48"/>
        <v>173111.5</v>
      </c>
      <c r="V516" s="466">
        <v>121582</v>
      </c>
      <c r="W516" s="467">
        <v>74645.5</v>
      </c>
      <c r="X516" s="466">
        <v>12409.5</v>
      </c>
      <c r="Y516" s="467">
        <v>8649</v>
      </c>
      <c r="Z516" s="466">
        <v>30324.5</v>
      </c>
      <c r="AA516" s="466">
        <v>5979</v>
      </c>
      <c r="AB516" s="466">
        <v>0</v>
      </c>
      <c r="AC516" s="467">
        <v>87061.5</v>
      </c>
      <c r="AD516" s="467">
        <v>2755.5</v>
      </c>
      <c r="AE516" s="467">
        <v>0</v>
      </c>
      <c r="AF516" s="466"/>
      <c r="AG516" s="467"/>
    </row>
    <row r="517" spans="1:33" s="14" customFormat="1" ht="15" customHeight="1">
      <c r="A517" s="350" t="s">
        <v>438</v>
      </c>
      <c r="B517" s="392" t="s">
        <v>440</v>
      </c>
      <c r="C517" s="393"/>
      <c r="D517" s="392">
        <v>232982</v>
      </c>
      <c r="E517" s="394">
        <v>1</v>
      </c>
      <c r="F517" s="464">
        <f t="shared" si="46"/>
        <v>500907</v>
      </c>
      <c r="G517" s="465">
        <f t="shared" si="47"/>
        <v>510637</v>
      </c>
      <c r="H517" s="466">
        <v>344197</v>
      </c>
      <c r="I517" s="467">
        <v>193340</v>
      </c>
      <c r="J517" s="466">
        <v>232</v>
      </c>
      <c r="K517" s="467">
        <v>5068</v>
      </c>
      <c r="L517" s="466">
        <v>137658</v>
      </c>
      <c r="M517" s="466">
        <v>18770</v>
      </c>
      <c r="N517" s="466">
        <v>50</v>
      </c>
      <c r="O517" s="467">
        <v>219655</v>
      </c>
      <c r="P517" s="467">
        <v>92569</v>
      </c>
      <c r="Q517" s="467">
        <v>5</v>
      </c>
      <c r="R517" s="466"/>
      <c r="S517" s="467"/>
      <c r="T517" s="464">
        <f t="shared" si="50"/>
        <v>66439</v>
      </c>
      <c r="U517" s="465">
        <f t="shared" si="48"/>
        <v>68263</v>
      </c>
      <c r="V517" s="466">
        <v>31487</v>
      </c>
      <c r="W517" s="467">
        <v>23166</v>
      </c>
      <c r="X517" s="466">
        <v>216</v>
      </c>
      <c r="Y517" s="467">
        <v>570</v>
      </c>
      <c r="Z517" s="466">
        <v>22309</v>
      </c>
      <c r="AA517" s="466">
        <v>10566</v>
      </c>
      <c r="AB517" s="466">
        <v>1861</v>
      </c>
      <c r="AC517" s="467">
        <v>27193</v>
      </c>
      <c r="AD517" s="467">
        <v>15455</v>
      </c>
      <c r="AE517" s="467">
        <v>1879</v>
      </c>
      <c r="AF517" s="466"/>
      <c r="AG517" s="467"/>
    </row>
    <row r="518" spans="1:33">
      <c r="A518" s="350" t="s">
        <v>438</v>
      </c>
      <c r="B518" s="392" t="s">
        <v>441</v>
      </c>
      <c r="C518" s="353"/>
      <c r="D518" s="392">
        <v>234076</v>
      </c>
      <c r="E518" s="394">
        <v>1</v>
      </c>
      <c r="F518" s="464">
        <f t="shared" si="46"/>
        <v>507366.5</v>
      </c>
      <c r="G518" s="465">
        <f t="shared" si="47"/>
        <v>502424</v>
      </c>
      <c r="H518" s="466">
        <v>476247</v>
      </c>
      <c r="I518" s="467">
        <v>256936.5</v>
      </c>
      <c r="J518" s="466">
        <v>19753.5</v>
      </c>
      <c r="K518" s="467">
        <v>6017.5</v>
      </c>
      <c r="L518" s="466">
        <v>10734</v>
      </c>
      <c r="M518" s="466">
        <v>632</v>
      </c>
      <c r="N518" s="466">
        <v>0</v>
      </c>
      <c r="O518" s="467">
        <v>40621.5</v>
      </c>
      <c r="P518" s="467">
        <v>198848.5</v>
      </c>
      <c r="Q518" s="467">
        <v>0</v>
      </c>
      <c r="R518" s="466"/>
      <c r="S518" s="467"/>
      <c r="T518" s="464">
        <f t="shared" si="50"/>
        <v>199952</v>
      </c>
      <c r="U518" s="465">
        <f t="shared" si="48"/>
        <v>200911.5</v>
      </c>
      <c r="V518" s="466">
        <v>172774</v>
      </c>
      <c r="W518" s="467">
        <v>127664</v>
      </c>
      <c r="X518" s="466">
        <v>12878.5</v>
      </c>
      <c r="Y518" s="467">
        <v>5723.5</v>
      </c>
      <c r="Z518" s="466">
        <v>11539</v>
      </c>
      <c r="AA518" s="466">
        <v>2760.5</v>
      </c>
      <c r="AB518" s="466">
        <v>0</v>
      </c>
      <c r="AC518" s="467">
        <v>20953</v>
      </c>
      <c r="AD518" s="467">
        <v>46571</v>
      </c>
      <c r="AE518" s="467">
        <v>0</v>
      </c>
      <c r="AF518" s="466"/>
      <c r="AG518" s="467"/>
    </row>
    <row r="519" spans="1:33">
      <c r="A519" s="350" t="s">
        <v>438</v>
      </c>
      <c r="B519" s="392" t="s">
        <v>442</v>
      </c>
      <c r="C519" s="352"/>
      <c r="D519" s="392">
        <v>234030</v>
      </c>
      <c r="E519" s="394">
        <v>1</v>
      </c>
      <c r="F519" s="464">
        <f t="shared" si="46"/>
        <v>631886</v>
      </c>
      <c r="G519" s="465">
        <f t="shared" si="47"/>
        <v>623201.5</v>
      </c>
      <c r="H519" s="466">
        <v>556033</v>
      </c>
      <c r="I519" s="467">
        <v>290369</v>
      </c>
      <c r="J519" s="466">
        <v>7692</v>
      </c>
      <c r="K519" s="467">
        <v>4865</v>
      </c>
      <c r="L519" s="466">
        <v>67344</v>
      </c>
      <c r="M519" s="466">
        <v>817</v>
      </c>
      <c r="N519" s="466">
        <v>0</v>
      </c>
      <c r="O519" s="467">
        <v>173474</v>
      </c>
      <c r="P519" s="467">
        <v>154493.5</v>
      </c>
      <c r="Q519" s="467">
        <v>0</v>
      </c>
      <c r="R519" s="466"/>
      <c r="S519" s="467"/>
      <c r="T519" s="464">
        <f t="shared" si="50"/>
        <v>132305</v>
      </c>
      <c r="U519" s="465">
        <f t="shared" si="48"/>
        <v>134150</v>
      </c>
      <c r="V519" s="466">
        <v>112489</v>
      </c>
      <c r="W519" s="467">
        <v>82179</v>
      </c>
      <c r="X519" s="466">
        <v>3343</v>
      </c>
      <c r="Y519" s="467">
        <v>2967</v>
      </c>
      <c r="Z519" s="466">
        <v>16071</v>
      </c>
      <c r="AA519" s="466">
        <v>402</v>
      </c>
      <c r="AB519" s="466">
        <v>0</v>
      </c>
      <c r="AC519" s="467">
        <v>21677</v>
      </c>
      <c r="AD519" s="467">
        <v>27327</v>
      </c>
      <c r="AE519" s="467">
        <v>0</v>
      </c>
      <c r="AF519" s="466"/>
      <c r="AG519" s="467"/>
    </row>
    <row r="520" spans="1:33">
      <c r="A520" s="350" t="s">
        <v>438</v>
      </c>
      <c r="B520" s="392" t="s">
        <v>443</v>
      </c>
      <c r="C520" s="353"/>
      <c r="D520" s="392">
        <v>233921</v>
      </c>
      <c r="E520" s="394">
        <v>1</v>
      </c>
      <c r="F520" s="464">
        <f t="shared" si="46"/>
        <v>888575</v>
      </c>
      <c r="G520" s="465">
        <f t="shared" si="47"/>
        <v>922288</v>
      </c>
      <c r="H520" s="466">
        <v>861814</v>
      </c>
      <c r="I520" s="467">
        <v>750028</v>
      </c>
      <c r="J520" s="466">
        <v>184</v>
      </c>
      <c r="K520" s="467">
        <v>53</v>
      </c>
      <c r="L520" s="466">
        <v>25306</v>
      </c>
      <c r="M520" s="466">
        <v>1271</v>
      </c>
      <c r="N520" s="466">
        <v>0</v>
      </c>
      <c r="O520" s="467">
        <v>78890</v>
      </c>
      <c r="P520" s="467">
        <v>93317</v>
      </c>
      <c r="Q520" s="467">
        <v>0</v>
      </c>
      <c r="R520" s="466"/>
      <c r="S520" s="467"/>
      <c r="T520" s="464">
        <f t="shared" si="50"/>
        <v>145332</v>
      </c>
      <c r="U520" s="465">
        <f t="shared" si="48"/>
        <v>143731</v>
      </c>
      <c r="V520" s="466">
        <v>108192</v>
      </c>
      <c r="W520" s="467">
        <v>102218</v>
      </c>
      <c r="X520" s="466">
        <v>18389</v>
      </c>
      <c r="Y520" s="467">
        <v>12753</v>
      </c>
      <c r="Z520" s="466">
        <v>12734</v>
      </c>
      <c r="AA520" s="466">
        <v>6017</v>
      </c>
      <c r="AB520" s="466">
        <v>0</v>
      </c>
      <c r="AC520" s="467">
        <v>18029</v>
      </c>
      <c r="AD520" s="467">
        <v>10731</v>
      </c>
      <c r="AE520" s="467">
        <v>0</v>
      </c>
      <c r="AF520" s="466"/>
      <c r="AG520" s="467"/>
    </row>
    <row r="521" spans="1:33">
      <c r="A521" s="350" t="s">
        <v>438</v>
      </c>
      <c r="B521" s="392" t="s">
        <v>444</v>
      </c>
      <c r="C521" s="353"/>
      <c r="D521" s="392">
        <v>231624</v>
      </c>
      <c r="E521" s="394">
        <v>2</v>
      </c>
      <c r="F521" s="464">
        <f t="shared" si="46"/>
        <v>184143.5</v>
      </c>
      <c r="G521" s="465">
        <f t="shared" si="47"/>
        <v>182600.3</v>
      </c>
      <c r="H521" s="466">
        <v>177776.5</v>
      </c>
      <c r="I521" s="467">
        <v>99756.5</v>
      </c>
      <c r="J521" s="466">
        <v>5239</v>
      </c>
      <c r="K521" s="467">
        <v>4038.3</v>
      </c>
      <c r="L521" s="466">
        <v>1128</v>
      </c>
      <c r="M521" s="466">
        <v>0</v>
      </c>
      <c r="N521" s="466">
        <v>0</v>
      </c>
      <c r="O521" s="467">
        <v>62603</v>
      </c>
      <c r="P521" s="467">
        <v>16202.5</v>
      </c>
      <c r="Q521" s="467">
        <v>0</v>
      </c>
      <c r="R521" s="466"/>
      <c r="S521" s="467"/>
      <c r="T521" s="464">
        <f t="shared" si="50"/>
        <v>59874</v>
      </c>
      <c r="U521" s="465">
        <f t="shared" si="48"/>
        <v>62133.5</v>
      </c>
      <c r="V521" s="466">
        <v>45856.5</v>
      </c>
      <c r="W521" s="467">
        <v>28399</v>
      </c>
      <c r="X521" s="466">
        <v>4544</v>
      </c>
      <c r="Y521" s="467">
        <v>3452.5</v>
      </c>
      <c r="Z521" s="466">
        <v>9473.5</v>
      </c>
      <c r="AA521" s="466">
        <v>0</v>
      </c>
      <c r="AB521" s="466">
        <v>0</v>
      </c>
      <c r="AC521" s="467">
        <v>25868.5</v>
      </c>
      <c r="AD521" s="467">
        <v>4413.5</v>
      </c>
      <c r="AE521" s="467">
        <v>0</v>
      </c>
      <c r="AF521" s="466"/>
      <c r="AG521" s="467"/>
    </row>
    <row r="522" spans="1:33" s="14" customFormat="1" ht="15" customHeight="1">
      <c r="A522" s="350" t="s">
        <v>438</v>
      </c>
      <c r="B522" s="392" t="s">
        <v>445</v>
      </c>
      <c r="C522" s="393"/>
      <c r="D522" s="392">
        <v>232423</v>
      </c>
      <c r="E522" s="394">
        <v>3</v>
      </c>
      <c r="F522" s="464">
        <f t="shared" si="46"/>
        <v>591489</v>
      </c>
      <c r="G522" s="465">
        <f t="shared" si="47"/>
        <v>589265</v>
      </c>
      <c r="H522" s="466">
        <v>546836</v>
      </c>
      <c r="I522" s="467">
        <v>296761</v>
      </c>
      <c r="J522" s="466">
        <v>11744</v>
      </c>
      <c r="K522" s="467">
        <v>8845</v>
      </c>
      <c r="L522" s="466">
        <v>32909</v>
      </c>
      <c r="M522" s="466">
        <v>0</v>
      </c>
      <c r="N522" s="466">
        <v>0</v>
      </c>
      <c r="O522" s="467">
        <v>283659</v>
      </c>
      <c r="P522" s="467">
        <v>0</v>
      </c>
      <c r="Q522" s="467">
        <v>0</v>
      </c>
      <c r="R522" s="466"/>
      <c r="S522" s="467"/>
      <c r="T522" s="464">
        <f t="shared" si="50"/>
        <v>35661</v>
      </c>
      <c r="U522" s="465">
        <f t="shared" si="48"/>
        <v>35561</v>
      </c>
      <c r="V522" s="466">
        <v>24609</v>
      </c>
      <c r="W522" s="467">
        <v>18205</v>
      </c>
      <c r="X522" s="466">
        <v>2730</v>
      </c>
      <c r="Y522" s="467">
        <v>2357</v>
      </c>
      <c r="Z522" s="466">
        <v>8322</v>
      </c>
      <c r="AA522" s="466">
        <v>0</v>
      </c>
      <c r="AB522" s="466">
        <v>0</v>
      </c>
      <c r="AC522" s="467">
        <v>14999</v>
      </c>
      <c r="AD522" s="467">
        <v>0</v>
      </c>
      <c r="AE522" s="467">
        <v>0</v>
      </c>
      <c r="AF522" s="466"/>
      <c r="AG522" s="467"/>
    </row>
    <row r="523" spans="1:33" s="14" customFormat="1" ht="15" customHeight="1">
      <c r="A523" s="350" t="s">
        <v>438</v>
      </c>
      <c r="B523" s="392" t="s">
        <v>446</v>
      </c>
      <c r="C523" s="449" t="s">
        <v>901</v>
      </c>
      <c r="D523" s="450">
        <v>232566</v>
      </c>
      <c r="E523" s="451">
        <v>5</v>
      </c>
      <c r="F523" s="464">
        <f t="shared" si="46"/>
        <v>115258</v>
      </c>
      <c r="G523" s="465">
        <f t="shared" si="47"/>
        <v>109575</v>
      </c>
      <c r="H523" s="466">
        <v>103717</v>
      </c>
      <c r="I523" s="467">
        <v>81487</v>
      </c>
      <c r="J523" s="466">
        <v>1149</v>
      </c>
      <c r="K523" s="467">
        <v>704</v>
      </c>
      <c r="L523" s="466">
        <v>10392</v>
      </c>
      <c r="M523" s="466">
        <v>0</v>
      </c>
      <c r="N523" s="466">
        <v>0</v>
      </c>
      <c r="O523" s="467">
        <v>24846</v>
      </c>
      <c r="P523" s="467">
        <v>2538</v>
      </c>
      <c r="Q523" s="467">
        <v>0</v>
      </c>
      <c r="R523" s="466"/>
      <c r="S523" s="467"/>
      <c r="T523" s="464">
        <f t="shared" si="50"/>
        <v>11102</v>
      </c>
      <c r="U523" s="465">
        <f t="shared" si="48"/>
        <v>14553</v>
      </c>
      <c r="V523" s="466">
        <v>3038</v>
      </c>
      <c r="W523" s="467">
        <v>1589</v>
      </c>
      <c r="X523" s="466">
        <v>2920</v>
      </c>
      <c r="Y523" s="467">
        <v>795</v>
      </c>
      <c r="Z523" s="466">
        <v>5036</v>
      </c>
      <c r="AA523" s="466">
        <v>108</v>
      </c>
      <c r="AB523" s="466">
        <v>0</v>
      </c>
      <c r="AC523" s="467">
        <v>12169</v>
      </c>
      <c r="AD523" s="467">
        <v>0</v>
      </c>
      <c r="AE523" s="467">
        <v>0</v>
      </c>
      <c r="AF523" s="466"/>
      <c r="AG523" s="467"/>
    </row>
    <row r="524" spans="1:33" s="14" customFormat="1" ht="15" customHeight="1">
      <c r="A524" s="350" t="s">
        <v>438</v>
      </c>
      <c r="B524" s="392" t="s">
        <v>447</v>
      </c>
      <c r="C524" s="449" t="s">
        <v>899</v>
      </c>
      <c r="D524" s="450">
        <v>232937</v>
      </c>
      <c r="E524" s="451">
        <v>4</v>
      </c>
      <c r="F524" s="464">
        <f t="shared" si="46"/>
        <v>137498</v>
      </c>
      <c r="G524" s="465">
        <f t="shared" si="47"/>
        <v>136802</v>
      </c>
      <c r="H524" s="466">
        <v>105274</v>
      </c>
      <c r="I524" s="467">
        <v>93223</v>
      </c>
      <c r="J524" s="466">
        <v>207</v>
      </c>
      <c r="K524" s="467">
        <v>80</v>
      </c>
      <c r="L524" s="466">
        <v>32017</v>
      </c>
      <c r="M524" s="466">
        <v>0</v>
      </c>
      <c r="N524" s="466">
        <v>0</v>
      </c>
      <c r="O524" s="467">
        <v>43499</v>
      </c>
      <c r="P524" s="467">
        <v>0</v>
      </c>
      <c r="Q524" s="467">
        <v>0</v>
      </c>
      <c r="R524" s="466"/>
      <c r="S524" s="467"/>
      <c r="T524" s="464">
        <f t="shared" si="50"/>
        <v>9544</v>
      </c>
      <c r="U524" s="465">
        <f t="shared" si="48"/>
        <v>8473</v>
      </c>
      <c r="V524" s="466">
        <v>7423</v>
      </c>
      <c r="W524" s="467">
        <v>6106</v>
      </c>
      <c r="X524" s="466">
        <v>9</v>
      </c>
      <c r="Y524" s="467">
        <v>0</v>
      </c>
      <c r="Z524" s="466">
        <v>2112</v>
      </c>
      <c r="AA524" s="466">
        <v>0</v>
      </c>
      <c r="AB524" s="466">
        <v>0</v>
      </c>
      <c r="AC524" s="467">
        <v>2367</v>
      </c>
      <c r="AD524" s="467">
        <v>0</v>
      </c>
      <c r="AE524" s="467">
        <v>0</v>
      </c>
      <c r="AF524" s="466"/>
      <c r="AG524" s="467"/>
    </row>
    <row r="525" spans="1:33" s="14" customFormat="1" ht="15" customHeight="1">
      <c r="A525" s="350" t="s">
        <v>438</v>
      </c>
      <c r="B525" s="392" t="s">
        <v>448</v>
      </c>
      <c r="C525" s="393"/>
      <c r="D525" s="452">
        <v>233277</v>
      </c>
      <c r="E525" s="394">
        <v>3</v>
      </c>
      <c r="F525" s="464">
        <f t="shared" si="46"/>
        <v>232688.7</v>
      </c>
      <c r="G525" s="465">
        <f t="shared" si="47"/>
        <v>219564</v>
      </c>
      <c r="H525" s="466">
        <v>190703</v>
      </c>
      <c r="I525" s="467">
        <v>130018</v>
      </c>
      <c r="J525" s="466">
        <v>10738.7</v>
      </c>
      <c r="K525" s="467">
        <v>14187</v>
      </c>
      <c r="L525" s="466">
        <v>30619</v>
      </c>
      <c r="M525" s="466">
        <v>628</v>
      </c>
      <c r="N525" s="466">
        <v>0</v>
      </c>
      <c r="O525" s="467">
        <v>70615</v>
      </c>
      <c r="P525" s="467">
        <v>4744</v>
      </c>
      <c r="Q525" s="467">
        <v>0</v>
      </c>
      <c r="R525" s="466"/>
      <c r="S525" s="467"/>
      <c r="T525" s="464">
        <f t="shared" si="50"/>
        <v>30177</v>
      </c>
      <c r="U525" s="465">
        <f t="shared" si="48"/>
        <v>40716</v>
      </c>
      <c r="V525" s="466">
        <v>10267</v>
      </c>
      <c r="W525" s="467">
        <v>7111</v>
      </c>
      <c r="X525" s="466">
        <v>6989</v>
      </c>
      <c r="Y525" s="467">
        <v>7869</v>
      </c>
      <c r="Z525" s="466">
        <v>10552</v>
      </c>
      <c r="AA525" s="466">
        <v>2369</v>
      </c>
      <c r="AB525" s="466">
        <v>0</v>
      </c>
      <c r="AC525" s="467">
        <v>25459</v>
      </c>
      <c r="AD525" s="467">
        <v>277</v>
      </c>
      <c r="AE525" s="467">
        <v>0</v>
      </c>
      <c r="AF525" s="466"/>
      <c r="AG525" s="467"/>
    </row>
    <row r="526" spans="1:33" s="14" customFormat="1" ht="15" customHeight="1">
      <c r="A526" s="350" t="s">
        <v>438</v>
      </c>
      <c r="B526" s="392" t="s">
        <v>449</v>
      </c>
      <c r="C526" s="449" t="s">
        <v>901</v>
      </c>
      <c r="D526" s="450">
        <v>232681</v>
      </c>
      <c r="E526" s="451">
        <v>5</v>
      </c>
      <c r="F526" s="464">
        <f t="shared" si="46"/>
        <v>117503.2</v>
      </c>
      <c r="G526" s="465">
        <f t="shared" si="47"/>
        <v>115162</v>
      </c>
      <c r="H526" s="466">
        <v>108363</v>
      </c>
      <c r="I526" s="467">
        <v>55643</v>
      </c>
      <c r="J526" s="466">
        <v>0</v>
      </c>
      <c r="K526" s="467">
        <v>0</v>
      </c>
      <c r="L526" s="466">
        <v>9128.2000000000007</v>
      </c>
      <c r="M526" s="466">
        <v>12</v>
      </c>
      <c r="N526" s="466">
        <v>0</v>
      </c>
      <c r="O526" s="467">
        <v>16992</v>
      </c>
      <c r="P526" s="467">
        <v>42527</v>
      </c>
      <c r="Q526" s="467">
        <v>0</v>
      </c>
      <c r="R526" s="466"/>
      <c r="S526" s="467"/>
      <c r="T526" s="464">
        <f t="shared" si="50"/>
        <v>5153</v>
      </c>
      <c r="U526" s="465">
        <f t="shared" si="48"/>
        <v>5170.6000000000004</v>
      </c>
      <c r="V526" s="466">
        <v>3081.4</v>
      </c>
      <c r="W526" s="467">
        <v>1570.6</v>
      </c>
      <c r="X526" s="466">
        <v>0</v>
      </c>
      <c r="Y526" s="467">
        <v>0</v>
      </c>
      <c r="Z526" s="466">
        <v>2071.6</v>
      </c>
      <c r="AA526" s="466">
        <v>0</v>
      </c>
      <c r="AB526" s="466">
        <v>0</v>
      </c>
      <c r="AC526" s="467">
        <v>1974</v>
      </c>
      <c r="AD526" s="467">
        <v>1626</v>
      </c>
      <c r="AE526" s="467">
        <v>0</v>
      </c>
      <c r="AF526" s="466"/>
      <c r="AG526" s="467"/>
    </row>
    <row r="527" spans="1:33" s="14" customFormat="1" ht="15" customHeight="1">
      <c r="A527" s="350" t="s">
        <v>438</v>
      </c>
      <c r="B527" s="392" t="s">
        <v>450</v>
      </c>
      <c r="C527" s="393"/>
      <c r="D527" s="392">
        <v>234155</v>
      </c>
      <c r="E527" s="394">
        <v>3</v>
      </c>
      <c r="F527" s="464">
        <f t="shared" si="46"/>
        <v>120110</v>
      </c>
      <c r="G527" s="465">
        <f t="shared" si="47"/>
        <v>113695</v>
      </c>
      <c r="H527" s="466">
        <v>104696</v>
      </c>
      <c r="I527" s="467">
        <v>97870</v>
      </c>
      <c r="J527" s="466">
        <v>159</v>
      </c>
      <c r="K527" s="467">
        <v>117</v>
      </c>
      <c r="L527" s="466">
        <v>15255</v>
      </c>
      <c r="M527" s="466">
        <v>0</v>
      </c>
      <c r="N527" s="466">
        <v>0</v>
      </c>
      <c r="O527" s="467">
        <v>15708</v>
      </c>
      <c r="P527" s="467">
        <v>0</v>
      </c>
      <c r="Q527" s="467">
        <v>0</v>
      </c>
      <c r="R527" s="466"/>
      <c r="S527" s="467"/>
      <c r="T527" s="464">
        <f t="shared" si="50"/>
        <v>5840</v>
      </c>
      <c r="U527" s="465">
        <f t="shared" si="48"/>
        <v>6016</v>
      </c>
      <c r="V527" s="466">
        <v>5222</v>
      </c>
      <c r="W527" s="467">
        <v>5536</v>
      </c>
      <c r="X527" s="466">
        <v>0</v>
      </c>
      <c r="Y527" s="467">
        <v>0</v>
      </c>
      <c r="Z527" s="466">
        <v>618</v>
      </c>
      <c r="AA527" s="466">
        <v>0</v>
      </c>
      <c r="AB527" s="466">
        <v>0</v>
      </c>
      <c r="AC527" s="467">
        <v>480</v>
      </c>
      <c r="AD527" s="467">
        <v>0</v>
      </c>
      <c r="AE527" s="467">
        <v>0</v>
      </c>
      <c r="AF527" s="466"/>
      <c r="AG527" s="467"/>
    </row>
    <row r="528" spans="1:33" s="14" customFormat="1" ht="15" customHeight="1">
      <c r="A528" s="350" t="s">
        <v>438</v>
      </c>
      <c r="B528" s="392" t="s">
        <v>451</v>
      </c>
      <c r="C528" s="393"/>
      <c r="D528" s="392">
        <v>231712</v>
      </c>
      <c r="E528" s="394">
        <v>5</v>
      </c>
      <c r="F528" s="464">
        <f t="shared" si="46"/>
        <v>139911</v>
      </c>
      <c r="G528" s="465">
        <f t="shared" si="47"/>
        <v>139327</v>
      </c>
      <c r="H528" s="466">
        <v>139118</v>
      </c>
      <c r="I528" s="467">
        <v>103475</v>
      </c>
      <c r="J528" s="466">
        <v>679</v>
      </c>
      <c r="K528" s="467">
        <v>854</v>
      </c>
      <c r="L528" s="466">
        <v>114</v>
      </c>
      <c r="M528" s="466">
        <v>0</v>
      </c>
      <c r="N528" s="466">
        <v>0</v>
      </c>
      <c r="O528" s="467">
        <v>34998</v>
      </c>
      <c r="P528" s="467">
        <v>0</v>
      </c>
      <c r="Q528" s="467">
        <v>0</v>
      </c>
      <c r="R528" s="466"/>
      <c r="S528" s="467"/>
      <c r="T528" s="464">
        <f t="shared" si="50"/>
        <v>2591</v>
      </c>
      <c r="U528" s="465">
        <f t="shared" si="48"/>
        <v>2776</v>
      </c>
      <c r="V528" s="466">
        <v>2591</v>
      </c>
      <c r="W528" s="467">
        <v>2080</v>
      </c>
      <c r="X528" s="466">
        <v>0</v>
      </c>
      <c r="Y528" s="467">
        <v>0</v>
      </c>
      <c r="Z528" s="466"/>
      <c r="AA528" s="466"/>
      <c r="AB528" s="466"/>
      <c r="AC528" s="467">
        <v>696</v>
      </c>
      <c r="AD528" s="467">
        <v>0</v>
      </c>
      <c r="AE528" s="467">
        <v>0</v>
      </c>
      <c r="AF528" s="466"/>
      <c r="AG528" s="467"/>
    </row>
    <row r="529" spans="1:33" s="14" customFormat="1" ht="15" customHeight="1">
      <c r="A529" s="350" t="s">
        <v>438</v>
      </c>
      <c r="B529" s="392" t="s">
        <v>452</v>
      </c>
      <c r="C529" s="393"/>
      <c r="D529" s="392">
        <v>233897</v>
      </c>
      <c r="E529" s="394">
        <v>6</v>
      </c>
      <c r="F529" s="464">
        <f t="shared" ref="F529:F573" si="51">SUM(H529,J529,L529,M529,N529,R529)</f>
        <v>45800</v>
      </c>
      <c r="G529" s="465">
        <f t="shared" ref="G529:G573" si="52">SUM(I529,K529,O529,P529,Q529,S529)</f>
        <v>45821</v>
      </c>
      <c r="H529" s="466">
        <v>34343</v>
      </c>
      <c r="I529" s="467">
        <v>32708</v>
      </c>
      <c r="J529" s="466">
        <v>0</v>
      </c>
      <c r="K529" s="467">
        <v>717</v>
      </c>
      <c r="L529" s="466">
        <v>11457</v>
      </c>
      <c r="M529" s="466">
        <v>0</v>
      </c>
      <c r="N529" s="466">
        <v>0</v>
      </c>
      <c r="O529" s="467">
        <v>12396</v>
      </c>
      <c r="P529" s="467">
        <v>0</v>
      </c>
      <c r="Q529" s="467">
        <v>0</v>
      </c>
      <c r="R529" s="466"/>
      <c r="S529" s="467"/>
      <c r="T529" s="464">
        <f t="shared" si="50"/>
        <v>0</v>
      </c>
      <c r="U529" s="465">
        <f t="shared" ref="U529:U573" si="53">SUM(W529,Y529,AC529,AD529,AE529,AG529)</f>
        <v>0</v>
      </c>
      <c r="V529" s="466"/>
      <c r="W529" s="467">
        <v>0</v>
      </c>
      <c r="X529" s="466"/>
      <c r="Y529" s="467"/>
      <c r="Z529" s="466"/>
      <c r="AA529" s="466"/>
      <c r="AB529" s="466"/>
      <c r="AC529" s="467"/>
      <c r="AD529" s="467"/>
      <c r="AE529" s="467"/>
      <c r="AF529" s="466"/>
      <c r="AG529" s="467"/>
    </row>
    <row r="530" spans="1:33" s="14" customFormat="1" ht="15" customHeight="1">
      <c r="A530" s="350" t="s">
        <v>438</v>
      </c>
      <c r="B530" s="392" t="s">
        <v>453</v>
      </c>
      <c r="C530" s="393"/>
      <c r="D530" s="392">
        <v>232414</v>
      </c>
      <c r="E530" s="394">
        <v>8</v>
      </c>
      <c r="F530" s="464">
        <f t="shared" si="51"/>
        <v>164046</v>
      </c>
      <c r="G530" s="465">
        <f t="shared" si="52"/>
        <v>157772</v>
      </c>
      <c r="H530" s="466">
        <v>81613</v>
      </c>
      <c r="I530" s="467">
        <v>39668</v>
      </c>
      <c r="J530" s="466">
        <v>14993</v>
      </c>
      <c r="K530" s="467">
        <v>18462</v>
      </c>
      <c r="L530" s="466">
        <v>67383</v>
      </c>
      <c r="M530" s="466">
        <v>57</v>
      </c>
      <c r="N530" s="466">
        <v>0</v>
      </c>
      <c r="O530" s="467">
        <v>96819</v>
      </c>
      <c r="P530" s="467">
        <v>92</v>
      </c>
      <c r="Q530" s="467">
        <v>2731</v>
      </c>
      <c r="R530" s="466"/>
      <c r="S530" s="467"/>
      <c r="T530" s="464">
        <f t="shared" si="50"/>
        <v>0</v>
      </c>
      <c r="U530" s="465">
        <f t="shared" si="53"/>
        <v>0</v>
      </c>
      <c r="V530" s="466"/>
      <c r="W530" s="467">
        <v>0</v>
      </c>
      <c r="X530" s="466"/>
      <c r="Y530" s="467"/>
      <c r="Z530" s="466"/>
      <c r="AA530" s="466"/>
      <c r="AB530" s="466"/>
      <c r="AC530" s="467"/>
      <c r="AD530" s="467"/>
      <c r="AE530" s="467"/>
      <c r="AF530" s="466"/>
      <c r="AG530" s="467"/>
    </row>
    <row r="531" spans="1:33" s="14" customFormat="1" ht="15" customHeight="1">
      <c r="A531" s="350" t="s">
        <v>438</v>
      </c>
      <c r="B531" s="392" t="s">
        <v>454</v>
      </c>
      <c r="C531" s="393"/>
      <c r="D531" s="392">
        <v>232450</v>
      </c>
      <c r="E531" s="394">
        <v>8</v>
      </c>
      <c r="F531" s="464">
        <f t="shared" si="51"/>
        <v>165336</v>
      </c>
      <c r="G531" s="465">
        <f t="shared" si="52"/>
        <v>158949</v>
      </c>
      <c r="H531" s="466">
        <v>83788</v>
      </c>
      <c r="I531" s="467">
        <v>43773</v>
      </c>
      <c r="J531" s="466">
        <v>25633</v>
      </c>
      <c r="K531" s="467">
        <v>26931</v>
      </c>
      <c r="L531" s="466">
        <v>55915</v>
      </c>
      <c r="M531" s="466">
        <v>0</v>
      </c>
      <c r="N531" s="466">
        <v>0</v>
      </c>
      <c r="O531" s="467">
        <v>75827</v>
      </c>
      <c r="P531" s="467">
        <v>5812</v>
      </c>
      <c r="Q531" s="467">
        <v>6606</v>
      </c>
      <c r="R531" s="466"/>
      <c r="S531" s="467"/>
      <c r="T531" s="464">
        <f t="shared" si="50"/>
        <v>0</v>
      </c>
      <c r="U531" s="465">
        <f t="shared" si="53"/>
        <v>0</v>
      </c>
      <c r="V531" s="466"/>
      <c r="W531" s="467">
        <v>0</v>
      </c>
      <c r="X531" s="466"/>
      <c r="Y531" s="467"/>
      <c r="Z531" s="466"/>
      <c r="AA531" s="466"/>
      <c r="AB531" s="466"/>
      <c r="AC531" s="467"/>
      <c r="AD531" s="467"/>
      <c r="AE531" s="467"/>
      <c r="AF531" s="466"/>
      <c r="AG531" s="467"/>
    </row>
    <row r="532" spans="1:33" s="14" customFormat="1" ht="15" customHeight="1">
      <c r="A532" s="350" t="s">
        <v>438</v>
      </c>
      <c r="B532" s="392" t="s">
        <v>455</v>
      </c>
      <c r="C532" s="393"/>
      <c r="D532" s="392">
        <v>232946</v>
      </c>
      <c r="E532" s="394">
        <v>8</v>
      </c>
      <c r="F532" s="464">
        <f t="shared" si="51"/>
        <v>942305</v>
      </c>
      <c r="G532" s="465">
        <f t="shared" si="52"/>
        <v>923343</v>
      </c>
      <c r="H532" s="466">
        <v>627431</v>
      </c>
      <c r="I532" s="467">
        <v>348674</v>
      </c>
      <c r="J532" s="466">
        <v>120777</v>
      </c>
      <c r="K532" s="467">
        <v>108807</v>
      </c>
      <c r="L532" s="466">
        <v>193683</v>
      </c>
      <c r="M532" s="466">
        <v>414</v>
      </c>
      <c r="N532" s="466">
        <v>0</v>
      </c>
      <c r="O532" s="467">
        <v>420022</v>
      </c>
      <c r="P532" s="467">
        <v>45757</v>
      </c>
      <c r="Q532" s="467">
        <v>83</v>
      </c>
      <c r="R532" s="466"/>
      <c r="S532" s="467"/>
      <c r="T532" s="464">
        <f t="shared" si="50"/>
        <v>0</v>
      </c>
      <c r="U532" s="465">
        <f t="shared" si="53"/>
        <v>0</v>
      </c>
      <c r="V532" s="466"/>
      <c r="W532" s="467">
        <v>0</v>
      </c>
      <c r="X532" s="466"/>
      <c r="Y532" s="467"/>
      <c r="Z532" s="466"/>
      <c r="AA532" s="466"/>
      <c r="AB532" s="466"/>
      <c r="AC532" s="467"/>
      <c r="AD532" s="467"/>
      <c r="AE532" s="467"/>
      <c r="AF532" s="466"/>
      <c r="AG532" s="467"/>
    </row>
    <row r="533" spans="1:33" s="14" customFormat="1" ht="15" customHeight="1">
      <c r="A533" s="350" t="s">
        <v>438</v>
      </c>
      <c r="B533" s="392" t="s">
        <v>456</v>
      </c>
      <c r="C533" s="458" t="s">
        <v>916</v>
      </c>
      <c r="D533" s="392">
        <v>233754</v>
      </c>
      <c r="E533" s="394">
        <v>8</v>
      </c>
      <c r="F533" s="464">
        <f t="shared" si="51"/>
        <v>144941</v>
      </c>
      <c r="G533" s="465">
        <f t="shared" si="52"/>
        <v>132345</v>
      </c>
      <c r="H533" s="466">
        <v>73789</v>
      </c>
      <c r="I533" s="467">
        <v>45693</v>
      </c>
      <c r="J533" s="466">
        <v>15057</v>
      </c>
      <c r="K533" s="467">
        <v>6657</v>
      </c>
      <c r="L533" s="466">
        <v>56020</v>
      </c>
      <c r="M533" s="466">
        <v>75</v>
      </c>
      <c r="N533" s="466">
        <v>0</v>
      </c>
      <c r="O533" s="467">
        <v>78682</v>
      </c>
      <c r="P533" s="467">
        <v>184</v>
      </c>
      <c r="Q533" s="467">
        <v>1129</v>
      </c>
      <c r="R533" s="466"/>
      <c r="S533" s="467"/>
      <c r="T533" s="464">
        <f t="shared" si="50"/>
        <v>0</v>
      </c>
      <c r="U533" s="465">
        <f t="shared" si="53"/>
        <v>0</v>
      </c>
      <c r="V533" s="466"/>
      <c r="W533" s="467">
        <v>0</v>
      </c>
      <c r="X533" s="466"/>
      <c r="Y533" s="467"/>
      <c r="Z533" s="466"/>
      <c r="AA533" s="466"/>
      <c r="AB533" s="466"/>
      <c r="AC533" s="467"/>
      <c r="AD533" s="467"/>
      <c r="AE533" s="467"/>
      <c r="AF533" s="466"/>
      <c r="AG533" s="467"/>
    </row>
    <row r="534" spans="1:33" s="14" customFormat="1" ht="15" customHeight="1">
      <c r="A534" s="350" t="s">
        <v>438</v>
      </c>
      <c r="B534" s="392" t="s">
        <v>457</v>
      </c>
      <c r="C534" s="393"/>
      <c r="D534" s="392">
        <v>233772</v>
      </c>
      <c r="E534" s="394">
        <v>8</v>
      </c>
      <c r="F534" s="464">
        <f t="shared" si="51"/>
        <v>403321</v>
      </c>
      <c r="G534" s="465">
        <f t="shared" si="52"/>
        <v>359351</v>
      </c>
      <c r="H534" s="466">
        <v>232146</v>
      </c>
      <c r="I534" s="467">
        <v>119520</v>
      </c>
      <c r="J534" s="466">
        <v>27452</v>
      </c>
      <c r="K534" s="467">
        <v>15817</v>
      </c>
      <c r="L534" s="466">
        <v>143638</v>
      </c>
      <c r="M534" s="466">
        <v>85</v>
      </c>
      <c r="N534" s="466">
        <v>0</v>
      </c>
      <c r="O534" s="467">
        <v>218874</v>
      </c>
      <c r="P534" s="467">
        <v>3243</v>
      </c>
      <c r="Q534" s="467">
        <v>1897</v>
      </c>
      <c r="R534" s="466"/>
      <c r="S534" s="467"/>
      <c r="T534" s="464">
        <f t="shared" si="50"/>
        <v>0</v>
      </c>
      <c r="U534" s="465">
        <f t="shared" si="53"/>
        <v>0</v>
      </c>
      <c r="V534" s="466"/>
      <c r="W534" s="467">
        <v>0</v>
      </c>
      <c r="X534" s="466"/>
      <c r="Y534" s="467"/>
      <c r="Z534" s="466"/>
      <c r="AA534" s="466"/>
      <c r="AB534" s="466"/>
      <c r="AC534" s="467"/>
      <c r="AD534" s="467"/>
      <c r="AE534" s="467"/>
      <c r="AF534" s="466"/>
      <c r="AG534" s="467"/>
    </row>
    <row r="535" spans="1:33" s="14" customFormat="1" ht="15" customHeight="1">
      <c r="A535" s="350" t="s">
        <v>438</v>
      </c>
      <c r="B535" s="392" t="s">
        <v>458</v>
      </c>
      <c r="C535" s="393"/>
      <c r="D535" s="392">
        <v>231536</v>
      </c>
      <c r="E535" s="394">
        <v>9</v>
      </c>
      <c r="F535" s="464">
        <f t="shared" si="51"/>
        <v>68933</v>
      </c>
      <c r="G535" s="465">
        <f t="shared" si="52"/>
        <v>64957</v>
      </c>
      <c r="H535" s="466">
        <v>31831</v>
      </c>
      <c r="I535" s="467">
        <v>15647</v>
      </c>
      <c r="J535" s="466">
        <v>8154</v>
      </c>
      <c r="K535" s="467">
        <v>3842</v>
      </c>
      <c r="L535" s="466">
        <v>28948</v>
      </c>
      <c r="M535" s="466">
        <v>0</v>
      </c>
      <c r="N535" s="466">
        <v>0</v>
      </c>
      <c r="O535" s="467">
        <v>44823</v>
      </c>
      <c r="P535" s="467">
        <v>574</v>
      </c>
      <c r="Q535" s="467">
        <v>71</v>
      </c>
      <c r="R535" s="466"/>
      <c r="S535" s="467"/>
      <c r="T535" s="464">
        <f t="shared" si="50"/>
        <v>0</v>
      </c>
      <c r="U535" s="465">
        <f t="shared" si="53"/>
        <v>0</v>
      </c>
      <c r="V535" s="466"/>
      <c r="W535" s="467">
        <v>0</v>
      </c>
      <c r="X535" s="466"/>
      <c r="Y535" s="467"/>
      <c r="Z535" s="466"/>
      <c r="AA535" s="466"/>
      <c r="AB535" s="466"/>
      <c r="AC535" s="467"/>
      <c r="AD535" s="467"/>
      <c r="AE535" s="467"/>
      <c r="AF535" s="466"/>
      <c r="AG535" s="467"/>
    </row>
    <row r="536" spans="1:33" s="14" customFormat="1" ht="15" customHeight="1">
      <c r="A536" s="350" t="s">
        <v>438</v>
      </c>
      <c r="B536" s="392" t="s">
        <v>459</v>
      </c>
      <c r="C536" s="393"/>
      <c r="D536" s="392">
        <v>231697</v>
      </c>
      <c r="E536" s="394">
        <v>9</v>
      </c>
      <c r="F536" s="464">
        <f t="shared" si="51"/>
        <v>69284</v>
      </c>
      <c r="G536" s="465">
        <f t="shared" si="52"/>
        <v>64772</v>
      </c>
      <c r="H536" s="466">
        <v>34425</v>
      </c>
      <c r="I536" s="467">
        <v>17305</v>
      </c>
      <c r="J536" s="466">
        <v>15203</v>
      </c>
      <c r="K536" s="467">
        <v>8530</v>
      </c>
      <c r="L536" s="466">
        <v>16438</v>
      </c>
      <c r="M536" s="466">
        <v>3218</v>
      </c>
      <c r="N536" s="466">
        <v>0</v>
      </c>
      <c r="O536" s="467">
        <v>34671</v>
      </c>
      <c r="P536" s="467">
        <v>4226</v>
      </c>
      <c r="Q536" s="467">
        <v>40</v>
      </c>
      <c r="R536" s="466"/>
      <c r="S536" s="467"/>
      <c r="T536" s="464">
        <f t="shared" si="50"/>
        <v>0</v>
      </c>
      <c r="U536" s="465">
        <f t="shared" si="53"/>
        <v>0</v>
      </c>
      <c r="V536" s="466"/>
      <c r="W536" s="467">
        <v>0</v>
      </c>
      <c r="X536" s="466"/>
      <c r="Y536" s="467"/>
      <c r="Z536" s="466"/>
      <c r="AA536" s="466"/>
      <c r="AB536" s="466"/>
      <c r="AC536" s="467"/>
      <c r="AD536" s="467"/>
      <c r="AE536" s="467"/>
      <c r="AF536" s="466"/>
      <c r="AG536" s="467"/>
    </row>
    <row r="537" spans="1:33" s="14" customFormat="1" ht="15" customHeight="1">
      <c r="A537" s="350" t="s">
        <v>438</v>
      </c>
      <c r="B537" s="392" t="s">
        <v>461</v>
      </c>
      <c r="C537" s="393"/>
      <c r="D537" s="392">
        <v>232195</v>
      </c>
      <c r="E537" s="394">
        <v>9</v>
      </c>
      <c r="F537" s="464">
        <f t="shared" si="51"/>
        <v>131140</v>
      </c>
      <c r="G537" s="465">
        <f t="shared" si="52"/>
        <v>135978</v>
      </c>
      <c r="H537" s="466">
        <v>56869</v>
      </c>
      <c r="I537" s="467">
        <v>27812</v>
      </c>
      <c r="J537" s="466">
        <v>22055</v>
      </c>
      <c r="K537" s="467">
        <v>17979</v>
      </c>
      <c r="L537" s="466">
        <v>37522</v>
      </c>
      <c r="M537" s="466">
        <v>14694</v>
      </c>
      <c r="N537" s="466">
        <v>0</v>
      </c>
      <c r="O537" s="467">
        <v>83065</v>
      </c>
      <c r="P537" s="467">
        <v>7122</v>
      </c>
      <c r="Q537" s="467">
        <v>0</v>
      </c>
      <c r="R537" s="466"/>
      <c r="S537" s="467"/>
      <c r="T537" s="464">
        <f t="shared" si="50"/>
        <v>0</v>
      </c>
      <c r="U537" s="465">
        <f t="shared" si="53"/>
        <v>0</v>
      </c>
      <c r="V537" s="466"/>
      <c r="W537" s="467">
        <v>0</v>
      </c>
      <c r="X537" s="466"/>
      <c r="Y537" s="467"/>
      <c r="Z537" s="466"/>
      <c r="AA537" s="466"/>
      <c r="AB537" s="466"/>
      <c r="AC537" s="467"/>
      <c r="AD537" s="467"/>
      <c r="AE537" s="467"/>
      <c r="AF537" s="466"/>
      <c r="AG537" s="467"/>
    </row>
    <row r="538" spans="1:33" s="14" customFormat="1" ht="15" customHeight="1">
      <c r="A538" s="350" t="s">
        <v>438</v>
      </c>
      <c r="B538" s="392" t="s">
        <v>462</v>
      </c>
      <c r="C538" s="393"/>
      <c r="D538" s="392">
        <v>232575</v>
      </c>
      <c r="E538" s="394">
        <v>9</v>
      </c>
      <c r="F538" s="464">
        <f t="shared" si="51"/>
        <v>118340</v>
      </c>
      <c r="G538" s="465">
        <f t="shared" si="52"/>
        <v>115532</v>
      </c>
      <c r="H538" s="466">
        <v>36478</v>
      </c>
      <c r="I538" s="467">
        <v>17496</v>
      </c>
      <c r="J538" s="466">
        <v>33633</v>
      </c>
      <c r="K538" s="467">
        <v>33298</v>
      </c>
      <c r="L538" s="466">
        <v>36443</v>
      </c>
      <c r="M538" s="466">
        <v>11786</v>
      </c>
      <c r="N538" s="466">
        <v>0</v>
      </c>
      <c r="O538" s="467">
        <v>49793</v>
      </c>
      <c r="P538" s="467">
        <v>14945</v>
      </c>
      <c r="Q538" s="467">
        <v>0</v>
      </c>
      <c r="R538" s="466"/>
      <c r="S538" s="467"/>
      <c r="T538" s="464">
        <f t="shared" si="50"/>
        <v>0</v>
      </c>
      <c r="U538" s="465">
        <f t="shared" si="53"/>
        <v>0</v>
      </c>
      <c r="V538" s="466"/>
      <c r="W538" s="467">
        <v>0</v>
      </c>
      <c r="X538" s="466"/>
      <c r="Y538" s="467"/>
      <c r="Z538" s="466"/>
      <c r="AA538" s="466"/>
      <c r="AB538" s="466"/>
      <c r="AC538" s="467"/>
      <c r="AD538" s="467"/>
      <c r="AE538" s="467"/>
      <c r="AF538" s="466"/>
      <c r="AG538" s="467"/>
    </row>
    <row r="539" spans="1:33" s="14" customFormat="1" ht="15" customHeight="1">
      <c r="A539" s="350" t="s">
        <v>438</v>
      </c>
      <c r="B539" s="392" t="s">
        <v>463</v>
      </c>
      <c r="C539" s="393"/>
      <c r="D539" s="392">
        <v>232867</v>
      </c>
      <c r="E539" s="394">
        <v>9</v>
      </c>
      <c r="F539" s="464">
        <f t="shared" si="51"/>
        <v>78876</v>
      </c>
      <c r="G539" s="465">
        <f t="shared" si="52"/>
        <v>78768</v>
      </c>
      <c r="H539" s="466">
        <v>17397</v>
      </c>
      <c r="I539" s="467">
        <v>10406</v>
      </c>
      <c r="J539" s="466">
        <v>31689</v>
      </c>
      <c r="K539" s="467">
        <v>26416</v>
      </c>
      <c r="L539" s="466">
        <v>29017</v>
      </c>
      <c r="M539" s="466">
        <v>773</v>
      </c>
      <c r="N539" s="466">
        <v>0</v>
      </c>
      <c r="O539" s="467">
        <v>41104</v>
      </c>
      <c r="P539" s="467">
        <v>842</v>
      </c>
      <c r="Q539" s="467">
        <v>0</v>
      </c>
      <c r="R539" s="466"/>
      <c r="S539" s="467"/>
      <c r="T539" s="464">
        <f t="shared" si="50"/>
        <v>0</v>
      </c>
      <c r="U539" s="465">
        <f t="shared" si="53"/>
        <v>0</v>
      </c>
      <c r="V539" s="466"/>
      <c r="W539" s="467">
        <v>0</v>
      </c>
      <c r="X539" s="466"/>
      <c r="Y539" s="467"/>
      <c r="Z539" s="466"/>
      <c r="AA539" s="466"/>
      <c r="AB539" s="466"/>
      <c r="AC539" s="467"/>
      <c r="AD539" s="467"/>
      <c r="AE539" s="467"/>
      <c r="AF539" s="466"/>
      <c r="AG539" s="467"/>
    </row>
    <row r="540" spans="1:33" s="14" customFormat="1" ht="15" customHeight="1">
      <c r="A540" s="350" t="s">
        <v>438</v>
      </c>
      <c r="B540" s="392" t="s">
        <v>465</v>
      </c>
      <c r="C540" s="393"/>
      <c r="D540" s="392">
        <v>233116</v>
      </c>
      <c r="E540" s="394">
        <v>9</v>
      </c>
      <c r="F540" s="464">
        <f t="shared" si="51"/>
        <v>83467</v>
      </c>
      <c r="G540" s="465">
        <f t="shared" si="52"/>
        <v>82065</v>
      </c>
      <c r="H540" s="466">
        <v>43393</v>
      </c>
      <c r="I540" s="467">
        <v>20828</v>
      </c>
      <c r="J540" s="466">
        <v>18474</v>
      </c>
      <c r="K540" s="467">
        <v>18212</v>
      </c>
      <c r="L540" s="466">
        <v>19787</v>
      </c>
      <c r="M540" s="466">
        <v>1813</v>
      </c>
      <c r="N540" s="466">
        <v>0</v>
      </c>
      <c r="O540" s="467">
        <v>41019</v>
      </c>
      <c r="P540" s="467">
        <v>1941</v>
      </c>
      <c r="Q540" s="467">
        <v>65</v>
      </c>
      <c r="R540" s="466"/>
      <c r="S540" s="467"/>
      <c r="T540" s="464">
        <f t="shared" si="50"/>
        <v>0</v>
      </c>
      <c r="U540" s="465">
        <f t="shared" si="53"/>
        <v>0</v>
      </c>
      <c r="V540" s="466"/>
      <c r="W540" s="467">
        <v>0</v>
      </c>
      <c r="X540" s="466"/>
      <c r="Y540" s="467"/>
      <c r="Z540" s="466"/>
      <c r="AA540" s="466"/>
      <c r="AB540" s="466"/>
      <c r="AC540" s="467"/>
      <c r="AD540" s="467"/>
      <c r="AE540" s="467"/>
      <c r="AF540" s="466"/>
      <c r="AG540" s="467"/>
    </row>
    <row r="541" spans="1:33" s="14" customFormat="1" ht="15" customHeight="1">
      <c r="A541" s="350" t="s">
        <v>438</v>
      </c>
      <c r="B541" s="392" t="s">
        <v>466</v>
      </c>
      <c r="C541" s="458" t="s">
        <v>913</v>
      </c>
      <c r="D541" s="392">
        <v>233639</v>
      </c>
      <c r="E541" s="394">
        <v>9</v>
      </c>
      <c r="F541" s="464">
        <f t="shared" si="51"/>
        <v>59341</v>
      </c>
      <c r="G541" s="465">
        <f t="shared" si="52"/>
        <v>59742</v>
      </c>
      <c r="H541" s="466">
        <v>12345</v>
      </c>
      <c r="I541" s="467">
        <v>5380</v>
      </c>
      <c r="J541" s="466">
        <v>26066</v>
      </c>
      <c r="K541" s="467">
        <v>13603</v>
      </c>
      <c r="L541" s="466">
        <v>17907</v>
      </c>
      <c r="M541" s="466">
        <v>3023</v>
      </c>
      <c r="N541" s="466">
        <v>0</v>
      </c>
      <c r="O541" s="467">
        <v>37427</v>
      </c>
      <c r="P541" s="467">
        <v>2224</v>
      </c>
      <c r="Q541" s="467">
        <v>1108</v>
      </c>
      <c r="R541" s="466"/>
      <c r="S541" s="467"/>
      <c r="T541" s="464">
        <f t="shared" si="50"/>
        <v>0</v>
      </c>
      <c r="U541" s="465">
        <f t="shared" si="53"/>
        <v>0</v>
      </c>
      <c r="V541" s="466"/>
      <c r="W541" s="467">
        <v>0</v>
      </c>
      <c r="X541" s="466"/>
      <c r="Y541" s="467"/>
      <c r="Z541" s="466"/>
      <c r="AA541" s="466"/>
      <c r="AB541" s="466"/>
      <c r="AC541" s="467"/>
      <c r="AD541" s="467"/>
      <c r="AE541" s="467"/>
      <c r="AF541" s="466"/>
      <c r="AG541" s="467"/>
    </row>
    <row r="542" spans="1:33" s="14" customFormat="1" ht="15" customHeight="1">
      <c r="A542" s="350" t="s">
        <v>438</v>
      </c>
      <c r="B542" s="392" t="s">
        <v>467</v>
      </c>
      <c r="C542" s="393"/>
      <c r="D542" s="392">
        <v>233949</v>
      </c>
      <c r="E542" s="394">
        <v>9</v>
      </c>
      <c r="F542" s="464">
        <f t="shared" si="51"/>
        <v>108663</v>
      </c>
      <c r="G542" s="465">
        <f t="shared" si="52"/>
        <v>103122</v>
      </c>
      <c r="H542" s="466">
        <v>54096</v>
      </c>
      <c r="I542" s="467">
        <v>26919</v>
      </c>
      <c r="J542" s="466">
        <v>21139</v>
      </c>
      <c r="K542" s="467">
        <v>19742</v>
      </c>
      <c r="L542" s="466">
        <v>25261</v>
      </c>
      <c r="M542" s="466">
        <v>8167</v>
      </c>
      <c r="N542" s="466">
        <v>0</v>
      </c>
      <c r="O542" s="467">
        <v>51025</v>
      </c>
      <c r="P542" s="467">
        <v>5436</v>
      </c>
      <c r="Q542" s="467">
        <v>0</v>
      </c>
      <c r="R542" s="466"/>
      <c r="S542" s="467"/>
      <c r="T542" s="464">
        <f t="shared" si="50"/>
        <v>0</v>
      </c>
      <c r="U542" s="465">
        <f t="shared" si="53"/>
        <v>0</v>
      </c>
      <c r="V542" s="466"/>
      <c r="W542" s="467">
        <v>0</v>
      </c>
      <c r="X542" s="466"/>
      <c r="Y542" s="467"/>
      <c r="Z542" s="466"/>
      <c r="AA542" s="466"/>
      <c r="AB542" s="466"/>
      <c r="AC542" s="467"/>
      <c r="AD542" s="467"/>
      <c r="AE542" s="467"/>
      <c r="AF542" s="466"/>
      <c r="AG542" s="467"/>
    </row>
    <row r="543" spans="1:33">
      <c r="A543" s="350" t="s">
        <v>438</v>
      </c>
      <c r="B543" s="392" t="s">
        <v>469</v>
      </c>
      <c r="C543" s="353"/>
      <c r="D543" s="392">
        <v>231873</v>
      </c>
      <c r="E543" s="394">
        <v>10</v>
      </c>
      <c r="F543" s="464">
        <f t="shared" si="51"/>
        <v>17842</v>
      </c>
      <c r="G543" s="465">
        <f t="shared" si="52"/>
        <v>18656</v>
      </c>
      <c r="H543" s="466">
        <v>7796</v>
      </c>
      <c r="I543" s="467">
        <v>3845</v>
      </c>
      <c r="J543" s="466">
        <v>4452</v>
      </c>
      <c r="K543" s="467">
        <v>4773</v>
      </c>
      <c r="L543" s="466">
        <v>4054</v>
      </c>
      <c r="M543" s="466">
        <v>1540</v>
      </c>
      <c r="N543" s="466">
        <v>0</v>
      </c>
      <c r="O543" s="467">
        <v>8993</v>
      </c>
      <c r="P543" s="467">
        <v>769</v>
      </c>
      <c r="Q543" s="467">
        <v>276</v>
      </c>
      <c r="R543" s="466"/>
      <c r="S543" s="467"/>
      <c r="T543" s="464">
        <f t="shared" si="50"/>
        <v>0</v>
      </c>
      <c r="U543" s="465">
        <f t="shared" si="53"/>
        <v>0</v>
      </c>
      <c r="V543" s="466"/>
      <c r="W543" s="467">
        <v>0</v>
      </c>
      <c r="X543" s="466"/>
      <c r="Y543" s="467"/>
      <c r="Z543" s="466"/>
      <c r="AA543" s="466"/>
      <c r="AB543" s="466"/>
      <c r="AC543" s="467"/>
      <c r="AD543" s="467"/>
      <c r="AE543" s="467"/>
      <c r="AF543" s="466"/>
      <c r="AG543" s="467"/>
    </row>
    <row r="544" spans="1:33" s="14" customFormat="1" ht="15" customHeight="1">
      <c r="A544" s="350" t="s">
        <v>438</v>
      </c>
      <c r="B544" s="392" t="s">
        <v>460</v>
      </c>
      <c r="C544" s="395"/>
      <c r="D544" s="392">
        <v>231882</v>
      </c>
      <c r="E544" s="394">
        <v>10</v>
      </c>
      <c r="F544" s="464">
        <f t="shared" si="51"/>
        <v>53919</v>
      </c>
      <c r="G544" s="465">
        <f t="shared" si="52"/>
        <v>49488</v>
      </c>
      <c r="H544" s="466">
        <v>28672</v>
      </c>
      <c r="I544" s="467">
        <v>17149</v>
      </c>
      <c r="J544" s="466">
        <v>15567</v>
      </c>
      <c r="K544" s="467">
        <v>6726</v>
      </c>
      <c r="L544" s="466">
        <v>8268</v>
      </c>
      <c r="M544" s="466">
        <v>1412</v>
      </c>
      <c r="N544" s="466">
        <v>0</v>
      </c>
      <c r="O544" s="467">
        <v>17911</v>
      </c>
      <c r="P544" s="467">
        <v>4678</v>
      </c>
      <c r="Q544" s="467">
        <v>3024</v>
      </c>
      <c r="R544" s="466"/>
      <c r="S544" s="467"/>
      <c r="T544" s="464">
        <f t="shared" si="50"/>
        <v>0</v>
      </c>
      <c r="U544" s="465">
        <f t="shared" si="53"/>
        <v>0</v>
      </c>
      <c r="V544" s="466"/>
      <c r="W544" s="467">
        <v>0</v>
      </c>
      <c r="X544" s="466"/>
      <c r="Y544" s="467"/>
      <c r="Z544" s="466"/>
      <c r="AA544" s="466"/>
      <c r="AB544" s="466"/>
      <c r="AC544" s="467"/>
      <c r="AD544" s="467"/>
      <c r="AE544" s="467"/>
      <c r="AF544" s="466"/>
      <c r="AG544" s="467"/>
    </row>
    <row r="545" spans="1:33">
      <c r="A545" s="350" t="s">
        <v>438</v>
      </c>
      <c r="B545" s="392" t="s">
        <v>470</v>
      </c>
      <c r="C545" s="353"/>
      <c r="D545" s="392">
        <v>232052</v>
      </c>
      <c r="E545" s="394">
        <v>10</v>
      </c>
      <c r="F545" s="464">
        <f t="shared" si="51"/>
        <v>10399</v>
      </c>
      <c r="G545" s="465">
        <f t="shared" si="52"/>
        <v>12182</v>
      </c>
      <c r="H545" s="466">
        <v>6162</v>
      </c>
      <c r="I545" s="467">
        <v>3463</v>
      </c>
      <c r="J545" s="466">
        <v>2537</v>
      </c>
      <c r="K545" s="467">
        <v>3126</v>
      </c>
      <c r="L545" s="466">
        <v>1700</v>
      </c>
      <c r="M545" s="466">
        <v>0</v>
      </c>
      <c r="N545" s="466">
        <v>0</v>
      </c>
      <c r="O545" s="467">
        <v>4217</v>
      </c>
      <c r="P545" s="467">
        <v>286</v>
      </c>
      <c r="Q545" s="467">
        <v>1090</v>
      </c>
      <c r="R545" s="466"/>
      <c r="S545" s="467"/>
      <c r="T545" s="464">
        <f t="shared" si="50"/>
        <v>0</v>
      </c>
      <c r="U545" s="465">
        <f t="shared" si="53"/>
        <v>0</v>
      </c>
      <c r="V545" s="466"/>
      <c r="W545" s="467">
        <v>0</v>
      </c>
      <c r="X545" s="466"/>
      <c r="Y545" s="467"/>
      <c r="Z545" s="466"/>
      <c r="AA545" s="466"/>
      <c r="AB545" s="466"/>
      <c r="AC545" s="467"/>
      <c r="AD545" s="467"/>
      <c r="AE545" s="467"/>
      <c r="AF545" s="466"/>
      <c r="AG545" s="467"/>
    </row>
    <row r="546" spans="1:33">
      <c r="A546" s="350" t="s">
        <v>438</v>
      </c>
      <c r="B546" s="392" t="s">
        <v>471</v>
      </c>
      <c r="C546" s="352"/>
      <c r="D546" s="392">
        <v>232788</v>
      </c>
      <c r="E546" s="394">
        <v>10</v>
      </c>
      <c r="F546" s="464">
        <f t="shared" si="51"/>
        <v>46948</v>
      </c>
      <c r="G546" s="465">
        <f t="shared" si="52"/>
        <v>45237</v>
      </c>
      <c r="H546" s="466">
        <v>18852</v>
      </c>
      <c r="I546" s="467">
        <v>9040</v>
      </c>
      <c r="J546" s="466">
        <v>7015</v>
      </c>
      <c r="K546" s="467">
        <v>6919</v>
      </c>
      <c r="L546" s="466">
        <v>18888</v>
      </c>
      <c r="M546" s="466">
        <v>2193</v>
      </c>
      <c r="N546" s="466">
        <v>0</v>
      </c>
      <c r="O546" s="467">
        <v>24467</v>
      </c>
      <c r="P546" s="467">
        <v>3364</v>
      </c>
      <c r="Q546" s="467">
        <v>1447</v>
      </c>
      <c r="R546" s="466"/>
      <c r="S546" s="467"/>
      <c r="T546" s="464">
        <f t="shared" si="50"/>
        <v>0</v>
      </c>
      <c r="U546" s="465">
        <f t="shared" si="53"/>
        <v>0</v>
      </c>
      <c r="V546" s="466"/>
      <c r="W546" s="467">
        <v>0</v>
      </c>
      <c r="X546" s="466"/>
      <c r="Y546" s="467"/>
      <c r="Z546" s="466"/>
      <c r="AA546" s="466"/>
      <c r="AB546" s="466"/>
      <c r="AC546" s="467"/>
      <c r="AD546" s="467"/>
      <c r="AE546" s="467"/>
      <c r="AF546" s="466"/>
      <c r="AG546" s="467"/>
    </row>
    <row r="547" spans="1:33" s="14" customFormat="1" ht="15" customHeight="1">
      <c r="A547" s="350" t="s">
        <v>438</v>
      </c>
      <c r="B547" s="392" t="s">
        <v>464</v>
      </c>
      <c r="C547" s="395"/>
      <c r="D547" s="392">
        <v>233019</v>
      </c>
      <c r="E547" s="394">
        <v>10</v>
      </c>
      <c r="F547" s="464">
        <f t="shared" si="51"/>
        <v>50486</v>
      </c>
      <c r="G547" s="465">
        <f t="shared" si="52"/>
        <v>46085</v>
      </c>
      <c r="H547" s="466">
        <v>21521</v>
      </c>
      <c r="I547" s="467">
        <v>15750</v>
      </c>
      <c r="J547" s="466">
        <v>7299</v>
      </c>
      <c r="K547" s="467">
        <v>3742</v>
      </c>
      <c r="L547" s="466">
        <v>19741</v>
      </c>
      <c r="M547" s="466">
        <v>1925</v>
      </c>
      <c r="N547" s="466">
        <v>0</v>
      </c>
      <c r="O547" s="467">
        <v>23902</v>
      </c>
      <c r="P547" s="467">
        <v>2673</v>
      </c>
      <c r="Q547" s="467">
        <v>18</v>
      </c>
      <c r="R547" s="466"/>
      <c r="S547" s="467"/>
      <c r="T547" s="464">
        <f t="shared" si="50"/>
        <v>0</v>
      </c>
      <c r="U547" s="465">
        <f t="shared" si="53"/>
        <v>0</v>
      </c>
      <c r="V547" s="466"/>
      <c r="W547" s="467">
        <v>0</v>
      </c>
      <c r="X547" s="466"/>
      <c r="Y547" s="467"/>
      <c r="Z547" s="466"/>
      <c r="AA547" s="466"/>
      <c r="AB547" s="466"/>
      <c r="AC547" s="467"/>
      <c r="AD547" s="467"/>
      <c r="AE547" s="467"/>
      <c r="AF547" s="466"/>
      <c r="AG547" s="467"/>
    </row>
    <row r="548" spans="1:33">
      <c r="A548" s="350" t="s">
        <v>438</v>
      </c>
      <c r="B548" s="392" t="s">
        <v>472</v>
      </c>
      <c r="C548" s="353"/>
      <c r="D548" s="392">
        <v>233037</v>
      </c>
      <c r="E548" s="394">
        <v>10</v>
      </c>
      <c r="F548" s="464">
        <f t="shared" si="51"/>
        <v>23403</v>
      </c>
      <c r="G548" s="465">
        <f t="shared" si="52"/>
        <v>22936</v>
      </c>
      <c r="H548" s="466">
        <v>5374</v>
      </c>
      <c r="I548" s="467">
        <v>2699</v>
      </c>
      <c r="J548" s="466">
        <v>5201</v>
      </c>
      <c r="K548" s="467">
        <v>5967</v>
      </c>
      <c r="L548" s="466">
        <v>11669</v>
      </c>
      <c r="M548" s="466">
        <v>1159</v>
      </c>
      <c r="N548" s="466">
        <v>0</v>
      </c>
      <c r="O548" s="467">
        <v>10869</v>
      </c>
      <c r="P548" s="467">
        <v>2384</v>
      </c>
      <c r="Q548" s="467">
        <v>1017</v>
      </c>
      <c r="R548" s="466"/>
      <c r="S548" s="467"/>
      <c r="T548" s="464">
        <f t="shared" si="50"/>
        <v>0</v>
      </c>
      <c r="U548" s="465">
        <f t="shared" si="53"/>
        <v>0</v>
      </c>
      <c r="V548" s="466"/>
      <c r="W548" s="467">
        <v>0</v>
      </c>
      <c r="X548" s="466"/>
      <c r="Y548" s="467"/>
      <c r="Z548" s="466"/>
      <c r="AA548" s="466"/>
      <c r="AB548" s="466"/>
      <c r="AC548" s="467"/>
      <c r="AD548" s="467"/>
      <c r="AE548" s="467"/>
      <c r="AF548" s="466"/>
      <c r="AG548" s="467"/>
    </row>
    <row r="549" spans="1:33">
      <c r="A549" s="350" t="s">
        <v>438</v>
      </c>
      <c r="B549" s="392" t="s">
        <v>473</v>
      </c>
      <c r="C549" s="353"/>
      <c r="D549" s="392">
        <v>233310</v>
      </c>
      <c r="E549" s="394">
        <v>10</v>
      </c>
      <c r="F549" s="464">
        <f t="shared" si="51"/>
        <v>50806</v>
      </c>
      <c r="G549" s="465">
        <f t="shared" si="52"/>
        <v>47910</v>
      </c>
      <c r="H549" s="466">
        <v>9697</v>
      </c>
      <c r="I549" s="467">
        <v>6538</v>
      </c>
      <c r="J549" s="466">
        <v>16478</v>
      </c>
      <c r="K549" s="467">
        <v>14042</v>
      </c>
      <c r="L549" s="466">
        <v>15190</v>
      </c>
      <c r="M549" s="466">
        <v>9441</v>
      </c>
      <c r="N549" s="466">
        <v>0</v>
      </c>
      <c r="O549" s="467">
        <v>20616</v>
      </c>
      <c r="P549" s="467">
        <v>6714</v>
      </c>
      <c r="Q549" s="467">
        <v>0</v>
      </c>
      <c r="R549" s="466"/>
      <c r="S549" s="467"/>
      <c r="T549" s="464">
        <f t="shared" si="50"/>
        <v>0</v>
      </c>
      <c r="U549" s="465">
        <f t="shared" si="53"/>
        <v>0</v>
      </c>
      <c r="V549" s="466"/>
      <c r="W549" s="467">
        <v>0</v>
      </c>
      <c r="X549" s="466"/>
      <c r="Y549" s="467"/>
      <c r="Z549" s="466"/>
      <c r="AA549" s="466"/>
      <c r="AB549" s="466"/>
      <c r="AC549" s="467"/>
      <c r="AD549" s="467"/>
      <c r="AE549" s="467"/>
      <c r="AF549" s="466"/>
      <c r="AG549" s="467"/>
    </row>
    <row r="550" spans="1:33">
      <c r="A550" s="350" t="s">
        <v>438</v>
      </c>
      <c r="B550" s="392" t="s">
        <v>474</v>
      </c>
      <c r="C550" s="353"/>
      <c r="D550" s="392">
        <v>233338</v>
      </c>
      <c r="E550" s="394">
        <v>10</v>
      </c>
      <c r="F550" s="464">
        <f t="shared" si="51"/>
        <v>37879</v>
      </c>
      <c r="G550" s="465">
        <f t="shared" si="52"/>
        <v>36848</v>
      </c>
      <c r="H550" s="466">
        <v>20787</v>
      </c>
      <c r="I550" s="467">
        <v>19540</v>
      </c>
      <c r="J550" s="466">
        <v>12065</v>
      </c>
      <c r="K550" s="467">
        <v>11435</v>
      </c>
      <c r="L550" s="466">
        <v>5027</v>
      </c>
      <c r="M550" s="466">
        <v>0</v>
      </c>
      <c r="N550" s="466">
        <v>0</v>
      </c>
      <c r="O550" s="467">
        <v>5873</v>
      </c>
      <c r="P550" s="467">
        <v>0</v>
      </c>
      <c r="Q550" s="467">
        <v>0</v>
      </c>
      <c r="R550" s="466"/>
      <c r="S550" s="467"/>
      <c r="T550" s="464">
        <f t="shared" si="50"/>
        <v>0</v>
      </c>
      <c r="U550" s="465">
        <f t="shared" si="53"/>
        <v>0</v>
      </c>
      <c r="V550" s="466"/>
      <c r="W550" s="467">
        <v>0</v>
      </c>
      <c r="X550" s="466"/>
      <c r="Y550" s="467"/>
      <c r="Z550" s="466"/>
      <c r="AA550" s="466"/>
      <c r="AB550" s="466"/>
      <c r="AC550" s="467"/>
      <c r="AD550" s="467"/>
      <c r="AE550" s="467"/>
      <c r="AF550" s="466"/>
      <c r="AG550" s="467"/>
    </row>
    <row r="551" spans="1:33">
      <c r="A551" s="350" t="s">
        <v>438</v>
      </c>
      <c r="B551" s="392" t="s">
        <v>475</v>
      </c>
      <c r="C551" s="352"/>
      <c r="D551" s="392">
        <v>233648</v>
      </c>
      <c r="E551" s="394">
        <v>10</v>
      </c>
      <c r="F551" s="464">
        <f t="shared" si="51"/>
        <v>47553</v>
      </c>
      <c r="G551" s="465">
        <f t="shared" si="52"/>
        <v>48714</v>
      </c>
      <c r="H551" s="466">
        <v>14885</v>
      </c>
      <c r="I551" s="467">
        <v>7865</v>
      </c>
      <c r="J551" s="466">
        <v>8771</v>
      </c>
      <c r="K551" s="467">
        <v>4481</v>
      </c>
      <c r="L551" s="466">
        <v>21149</v>
      </c>
      <c r="M551" s="466">
        <v>2748</v>
      </c>
      <c r="N551" s="466">
        <v>0</v>
      </c>
      <c r="O551" s="467">
        <v>31726</v>
      </c>
      <c r="P551" s="467">
        <v>4642</v>
      </c>
      <c r="Q551" s="467">
        <v>0</v>
      </c>
      <c r="R551" s="466"/>
      <c r="S551" s="467"/>
      <c r="T551" s="464">
        <f t="shared" si="50"/>
        <v>0</v>
      </c>
      <c r="U551" s="465">
        <f t="shared" si="53"/>
        <v>0</v>
      </c>
      <c r="V551" s="466"/>
      <c r="W551" s="467">
        <v>0</v>
      </c>
      <c r="X551" s="466"/>
      <c r="Y551" s="467"/>
      <c r="Z551" s="466"/>
      <c r="AA551" s="466"/>
      <c r="AB551" s="466"/>
      <c r="AC551" s="467"/>
      <c r="AD551" s="467"/>
      <c r="AE551" s="467"/>
      <c r="AF551" s="466"/>
      <c r="AG551" s="467"/>
    </row>
    <row r="552" spans="1:33">
      <c r="A552" s="350" t="s">
        <v>438</v>
      </c>
      <c r="B552" s="392" t="s">
        <v>476</v>
      </c>
      <c r="C552" s="353"/>
      <c r="D552" s="392">
        <v>233903</v>
      </c>
      <c r="E552" s="394">
        <v>10</v>
      </c>
      <c r="F552" s="464">
        <f t="shared" si="51"/>
        <v>43893</v>
      </c>
      <c r="G552" s="465">
        <f t="shared" si="52"/>
        <v>41985</v>
      </c>
      <c r="H552" s="466">
        <v>17050</v>
      </c>
      <c r="I552" s="467">
        <v>9096</v>
      </c>
      <c r="J552" s="466">
        <v>7779</v>
      </c>
      <c r="K552" s="467">
        <v>6396</v>
      </c>
      <c r="L552" s="466">
        <v>17066</v>
      </c>
      <c r="M552" s="466">
        <v>1998</v>
      </c>
      <c r="N552" s="466">
        <v>0</v>
      </c>
      <c r="O552" s="467">
        <v>20767</v>
      </c>
      <c r="P552" s="467">
        <v>5360</v>
      </c>
      <c r="Q552" s="467">
        <v>366</v>
      </c>
      <c r="R552" s="466"/>
      <c r="S552" s="467"/>
      <c r="T552" s="464">
        <f t="shared" si="50"/>
        <v>0</v>
      </c>
      <c r="U552" s="465">
        <f t="shared" si="53"/>
        <v>0</v>
      </c>
      <c r="V552" s="466"/>
      <c r="W552" s="467">
        <v>0</v>
      </c>
      <c r="X552" s="466"/>
      <c r="Y552" s="467"/>
      <c r="Z552" s="466"/>
      <c r="AA552" s="466"/>
      <c r="AB552" s="466"/>
      <c r="AC552" s="467"/>
      <c r="AD552" s="467"/>
      <c r="AE552" s="467"/>
      <c r="AF552" s="466"/>
      <c r="AG552" s="467"/>
    </row>
    <row r="553" spans="1:33" s="14" customFormat="1" ht="15" customHeight="1">
      <c r="A553" s="350" t="s">
        <v>438</v>
      </c>
      <c r="B553" s="392" t="s">
        <v>468</v>
      </c>
      <c r="C553" s="395"/>
      <c r="D553" s="392">
        <v>234377</v>
      </c>
      <c r="E553" s="394">
        <v>10</v>
      </c>
      <c r="F553" s="464">
        <f t="shared" si="51"/>
        <v>46714</v>
      </c>
      <c r="G553" s="465">
        <f t="shared" si="52"/>
        <v>44087</v>
      </c>
      <c r="H553" s="466">
        <v>7284</v>
      </c>
      <c r="I553" s="467">
        <v>3528</v>
      </c>
      <c r="J553" s="466">
        <v>13441</v>
      </c>
      <c r="K553" s="467">
        <v>11184</v>
      </c>
      <c r="L553" s="466">
        <v>22090</v>
      </c>
      <c r="M553" s="466">
        <v>3899</v>
      </c>
      <c r="N553" s="466">
        <v>0</v>
      </c>
      <c r="O553" s="467">
        <v>24909</v>
      </c>
      <c r="P553" s="467">
        <v>4466</v>
      </c>
      <c r="Q553" s="467">
        <v>0</v>
      </c>
      <c r="R553" s="466"/>
      <c r="S553" s="467"/>
      <c r="T553" s="464">
        <f t="shared" si="50"/>
        <v>0</v>
      </c>
      <c r="U553" s="465">
        <f t="shared" si="53"/>
        <v>0</v>
      </c>
      <c r="V553" s="466"/>
      <c r="W553" s="467">
        <v>0</v>
      </c>
      <c r="X553" s="466"/>
      <c r="Y553" s="467"/>
      <c r="Z553" s="466"/>
      <c r="AA553" s="466"/>
      <c r="AB553" s="466"/>
      <c r="AC553" s="467"/>
      <c r="AD553" s="467"/>
      <c r="AE553" s="467"/>
      <c r="AF553" s="466"/>
      <c r="AG553" s="467"/>
    </row>
    <row r="554" spans="1:33" s="14" customFormat="1" ht="13.5" customHeight="1">
      <c r="A554" s="437" t="s">
        <v>477</v>
      </c>
      <c r="B554" s="379" t="s">
        <v>478</v>
      </c>
      <c r="C554" s="380"/>
      <c r="D554" s="381">
        <v>238032</v>
      </c>
      <c r="E554" s="381">
        <v>1</v>
      </c>
      <c r="F554" s="464">
        <f t="shared" si="51"/>
        <v>610650</v>
      </c>
      <c r="G554" s="465">
        <f t="shared" si="52"/>
        <v>598709</v>
      </c>
      <c r="H554" s="466">
        <v>524686</v>
      </c>
      <c r="I554" s="467">
        <v>329095</v>
      </c>
      <c r="J554" s="466">
        <v>5406</v>
      </c>
      <c r="K554" s="467">
        <v>9465</v>
      </c>
      <c r="L554" s="466">
        <v>78304</v>
      </c>
      <c r="M554" s="466">
        <v>0</v>
      </c>
      <c r="N554" s="466">
        <v>2254</v>
      </c>
      <c r="O554" s="467">
        <v>259318</v>
      </c>
      <c r="P554" s="467"/>
      <c r="Q554" s="467">
        <v>831</v>
      </c>
      <c r="R554" s="466"/>
      <c r="S554" s="467"/>
      <c r="T554" s="464">
        <f t="shared" si="50"/>
        <v>85974</v>
      </c>
      <c r="U554" s="465">
        <f t="shared" si="53"/>
        <v>88595</v>
      </c>
      <c r="V554" s="466">
        <v>58465</v>
      </c>
      <c r="W554" s="467">
        <v>51120</v>
      </c>
      <c r="X554" s="466">
        <v>2027</v>
      </c>
      <c r="Y554" s="467">
        <v>1213</v>
      </c>
      <c r="Z554" s="466">
        <v>24969</v>
      </c>
      <c r="AA554" s="466">
        <v>48</v>
      </c>
      <c r="AB554" s="466">
        <v>465</v>
      </c>
      <c r="AC554" s="467">
        <v>35462</v>
      </c>
      <c r="AD554" s="467">
        <v>21</v>
      </c>
      <c r="AE554" s="467">
        <v>779</v>
      </c>
      <c r="AF554" s="466"/>
      <c r="AG554" s="467"/>
    </row>
    <row r="555" spans="1:33" s="14" customFormat="1" ht="12.75" customHeight="1">
      <c r="A555" s="437" t="s">
        <v>477</v>
      </c>
      <c r="B555" s="379" t="s">
        <v>479</v>
      </c>
      <c r="C555" s="380"/>
      <c r="D555" s="381">
        <v>237525</v>
      </c>
      <c r="E555" s="381">
        <v>3</v>
      </c>
      <c r="F555" s="464">
        <f t="shared" si="51"/>
        <v>246456</v>
      </c>
      <c r="G555" s="465">
        <f t="shared" si="52"/>
        <v>237987</v>
      </c>
      <c r="H555" s="466">
        <v>174670</v>
      </c>
      <c r="I555" s="467">
        <v>107586</v>
      </c>
      <c r="J555" s="466">
        <v>24017</v>
      </c>
      <c r="K555" s="467">
        <v>15655</v>
      </c>
      <c r="L555" s="466">
        <v>44014</v>
      </c>
      <c r="M555" s="466">
        <v>3755</v>
      </c>
      <c r="N555" s="466"/>
      <c r="O555" s="467">
        <v>111493</v>
      </c>
      <c r="P555" s="467">
        <v>3253</v>
      </c>
      <c r="Q555" s="467"/>
      <c r="R555" s="466"/>
      <c r="S555" s="467"/>
      <c r="T555" s="464">
        <f t="shared" si="50"/>
        <v>64539</v>
      </c>
      <c r="U555" s="465">
        <f t="shared" si="53"/>
        <v>61591</v>
      </c>
      <c r="V555" s="466">
        <v>31678</v>
      </c>
      <c r="W555" s="467">
        <v>18142</v>
      </c>
      <c r="X555" s="466">
        <v>11651</v>
      </c>
      <c r="Y555" s="467">
        <v>5728</v>
      </c>
      <c r="Z555" s="466">
        <v>20309</v>
      </c>
      <c r="AA555" s="466">
        <v>901</v>
      </c>
      <c r="AB555" s="466"/>
      <c r="AC555" s="467">
        <v>36941</v>
      </c>
      <c r="AD555" s="467">
        <v>780</v>
      </c>
      <c r="AE555" s="467"/>
      <c r="AF555" s="466"/>
      <c r="AG555" s="467"/>
    </row>
    <row r="556" spans="1:33" s="14" customFormat="1" ht="12.75" customHeight="1">
      <c r="A556" s="437" t="s">
        <v>477</v>
      </c>
      <c r="B556" s="379" t="s">
        <v>483</v>
      </c>
      <c r="C556" s="396"/>
      <c r="D556" s="381">
        <v>237330</v>
      </c>
      <c r="E556" s="381">
        <v>5</v>
      </c>
      <c r="F556" s="464">
        <f t="shared" si="51"/>
        <v>46415</v>
      </c>
      <c r="G556" s="465">
        <f t="shared" si="52"/>
        <v>43427</v>
      </c>
      <c r="H556" s="466">
        <v>30642</v>
      </c>
      <c r="I556" s="467">
        <v>13278</v>
      </c>
      <c r="J556" s="466">
        <v>3407</v>
      </c>
      <c r="K556" s="467">
        <v>1618</v>
      </c>
      <c r="L556" s="466">
        <v>11004</v>
      </c>
      <c r="M556" s="466">
        <v>1356</v>
      </c>
      <c r="N556" s="466">
        <v>6</v>
      </c>
      <c r="O556" s="467">
        <v>27936</v>
      </c>
      <c r="P556" s="467">
        <v>595</v>
      </c>
      <c r="Q556" s="467"/>
      <c r="R556" s="466"/>
      <c r="S556" s="467"/>
      <c r="T556" s="464">
        <f t="shared" si="50"/>
        <v>6600</v>
      </c>
      <c r="U556" s="465">
        <f t="shared" si="53"/>
        <v>6552</v>
      </c>
      <c r="V556" s="466">
        <v>306</v>
      </c>
      <c r="W556" s="467">
        <v>375</v>
      </c>
      <c r="X556" s="466"/>
      <c r="Y556" s="467"/>
      <c r="Z556" s="466">
        <v>6294</v>
      </c>
      <c r="AA556" s="466"/>
      <c r="AB556" s="466"/>
      <c r="AC556" s="467">
        <v>6177</v>
      </c>
      <c r="AD556" s="467"/>
      <c r="AE556" s="467"/>
      <c r="AF556" s="466"/>
      <c r="AG556" s="467"/>
    </row>
    <row r="557" spans="1:33" s="14" customFormat="1" ht="12.75" customHeight="1">
      <c r="A557" s="437" t="s">
        <v>477</v>
      </c>
      <c r="B557" s="379" t="s">
        <v>480</v>
      </c>
      <c r="C557" s="380"/>
      <c r="D557" s="381">
        <v>237367</v>
      </c>
      <c r="E557" s="381">
        <v>5</v>
      </c>
      <c r="F557" s="464">
        <f t="shared" si="51"/>
        <v>96814</v>
      </c>
      <c r="G557" s="465">
        <f t="shared" si="52"/>
        <v>94745</v>
      </c>
      <c r="H557" s="466">
        <v>71061</v>
      </c>
      <c r="I557" s="467">
        <v>62937</v>
      </c>
      <c r="J557" s="466">
        <v>1189</v>
      </c>
      <c r="K557" s="467">
        <v>2117</v>
      </c>
      <c r="L557" s="466">
        <v>24564</v>
      </c>
      <c r="M557" s="466">
        <v>0</v>
      </c>
      <c r="N557" s="466"/>
      <c r="O557" s="467">
        <v>29691</v>
      </c>
      <c r="P557" s="467"/>
      <c r="Q557" s="467"/>
      <c r="R557" s="466"/>
      <c r="S557" s="467"/>
      <c r="T557" s="464">
        <f t="shared" si="50"/>
        <v>3623</v>
      </c>
      <c r="U557" s="465">
        <f t="shared" si="53"/>
        <v>3930</v>
      </c>
      <c r="V557" s="466">
        <v>796</v>
      </c>
      <c r="W557" s="467">
        <v>654</v>
      </c>
      <c r="X557" s="466">
        <v>3</v>
      </c>
      <c r="Y557" s="467">
        <v>3</v>
      </c>
      <c r="Z557" s="466">
        <v>2824</v>
      </c>
      <c r="AA557" s="466"/>
      <c r="AB557" s="466"/>
      <c r="AC557" s="467">
        <v>3273</v>
      </c>
      <c r="AD557" s="467"/>
      <c r="AE557" s="467"/>
      <c r="AF557" s="466"/>
      <c r="AG557" s="467"/>
    </row>
    <row r="558" spans="1:33">
      <c r="A558" s="437" t="s">
        <v>477</v>
      </c>
      <c r="B558" s="379" t="s">
        <v>481</v>
      </c>
      <c r="C558" s="380"/>
      <c r="D558" s="381">
        <v>237792</v>
      </c>
      <c r="E558" s="381">
        <v>5</v>
      </c>
      <c r="F558" s="464">
        <f t="shared" si="51"/>
        <v>80901</v>
      </c>
      <c r="G558" s="465">
        <f t="shared" si="52"/>
        <v>75437</v>
      </c>
      <c r="H558" s="466">
        <v>69269</v>
      </c>
      <c r="I558" s="467">
        <v>39954</v>
      </c>
      <c r="J558" s="466">
        <v>0</v>
      </c>
      <c r="K558" s="467">
        <v>0</v>
      </c>
      <c r="L558" s="466">
        <v>11632</v>
      </c>
      <c r="M558" s="466">
        <v>0</v>
      </c>
      <c r="N558" s="466"/>
      <c r="O558" s="467">
        <v>35483</v>
      </c>
      <c r="P558" s="467"/>
      <c r="Q558" s="467"/>
      <c r="R558" s="466"/>
      <c r="S558" s="467"/>
      <c r="T558" s="464">
        <f t="shared" si="50"/>
        <v>6735</v>
      </c>
      <c r="U558" s="465">
        <f t="shared" si="53"/>
        <v>11322</v>
      </c>
      <c r="V558" s="466">
        <v>5115</v>
      </c>
      <c r="W558" s="467">
        <v>3894</v>
      </c>
      <c r="X558" s="466"/>
      <c r="Y558" s="467"/>
      <c r="Z558" s="466">
        <v>1620</v>
      </c>
      <c r="AA558" s="466"/>
      <c r="AB558" s="466"/>
      <c r="AC558" s="467">
        <v>7428</v>
      </c>
      <c r="AD558" s="467"/>
      <c r="AE558" s="467"/>
      <c r="AF558" s="466"/>
      <c r="AG558" s="467"/>
    </row>
    <row r="559" spans="1:33" s="14" customFormat="1" ht="15" customHeight="1">
      <c r="A559" s="437" t="s">
        <v>477</v>
      </c>
      <c r="B559" s="379" t="s">
        <v>485</v>
      </c>
      <c r="C559" s="380" t="s">
        <v>915</v>
      </c>
      <c r="D559" s="381">
        <v>237932</v>
      </c>
      <c r="E559" s="381">
        <v>5</v>
      </c>
      <c r="F559" s="464">
        <f t="shared" si="51"/>
        <v>61346</v>
      </c>
      <c r="G559" s="465">
        <f t="shared" si="52"/>
        <v>59963</v>
      </c>
      <c r="H559" s="466">
        <v>52862</v>
      </c>
      <c r="I559" s="467">
        <v>49687</v>
      </c>
      <c r="J559" s="466">
        <v>2245</v>
      </c>
      <c r="K559" s="467">
        <v>2309</v>
      </c>
      <c r="L559" s="466">
        <v>6239</v>
      </c>
      <c r="M559" s="466">
        <v>0</v>
      </c>
      <c r="N559" s="466"/>
      <c r="O559" s="467">
        <v>7967</v>
      </c>
      <c r="P559" s="467"/>
      <c r="Q559" s="467"/>
      <c r="R559" s="466"/>
      <c r="S559" s="467"/>
      <c r="T559" s="464">
        <f t="shared" si="50"/>
        <v>6131</v>
      </c>
      <c r="U559" s="465">
        <f t="shared" si="53"/>
        <v>7340</v>
      </c>
      <c r="V559" s="466">
        <v>2853</v>
      </c>
      <c r="W559" s="467">
        <v>3345</v>
      </c>
      <c r="X559" s="466">
        <v>789</v>
      </c>
      <c r="Y559" s="467">
        <v>1035</v>
      </c>
      <c r="Z559" s="466">
        <v>2489</v>
      </c>
      <c r="AA559" s="466"/>
      <c r="AB559" s="466"/>
      <c r="AC559" s="467">
        <v>2960</v>
      </c>
      <c r="AD559" s="467"/>
      <c r="AE559" s="467"/>
      <c r="AF559" s="466"/>
      <c r="AG559" s="467"/>
    </row>
    <row r="560" spans="1:33" s="14" customFormat="1" ht="15" customHeight="1">
      <c r="A560" s="437" t="s">
        <v>477</v>
      </c>
      <c r="B560" s="379" t="s">
        <v>482</v>
      </c>
      <c r="C560" s="380"/>
      <c r="D560" s="381">
        <v>237215</v>
      </c>
      <c r="E560" s="381">
        <v>6</v>
      </c>
      <c r="F560" s="464">
        <f t="shared" si="51"/>
        <v>32684</v>
      </c>
      <c r="G560" s="465">
        <f t="shared" si="52"/>
        <v>31533</v>
      </c>
      <c r="H560" s="466">
        <v>13094</v>
      </c>
      <c r="I560" s="467">
        <v>11407</v>
      </c>
      <c r="J560" s="466">
        <v>3031</v>
      </c>
      <c r="K560" s="467">
        <v>2918</v>
      </c>
      <c r="L560" s="466">
        <v>16436</v>
      </c>
      <c r="M560" s="466">
        <v>123</v>
      </c>
      <c r="N560" s="466"/>
      <c r="O560" s="467">
        <v>17208</v>
      </c>
      <c r="P560" s="467"/>
      <c r="Q560" s="467"/>
      <c r="R560" s="466"/>
      <c r="S560" s="467"/>
      <c r="T560" s="464">
        <f t="shared" si="50"/>
        <v>0</v>
      </c>
      <c r="U560" s="465">
        <f t="shared" si="53"/>
        <v>0</v>
      </c>
      <c r="V560" s="466"/>
      <c r="W560" s="467"/>
      <c r="X560" s="466"/>
      <c r="Y560" s="467"/>
      <c r="Z560" s="466"/>
      <c r="AA560" s="466"/>
      <c r="AB560" s="466"/>
      <c r="AC560" s="467"/>
      <c r="AD560" s="467"/>
      <c r="AE560" s="467"/>
      <c r="AF560" s="466"/>
      <c r="AG560" s="467"/>
    </row>
    <row r="561" spans="1:33" s="14" customFormat="1" ht="15" customHeight="1">
      <c r="A561" s="437" t="s">
        <v>477</v>
      </c>
      <c r="B561" s="379" t="s">
        <v>484</v>
      </c>
      <c r="C561" s="397"/>
      <c r="D561" s="381">
        <v>237385</v>
      </c>
      <c r="E561" s="381">
        <v>6</v>
      </c>
      <c r="F561" s="464">
        <f t="shared" si="51"/>
        <v>35068</v>
      </c>
      <c r="G561" s="465">
        <f t="shared" si="52"/>
        <v>36888</v>
      </c>
      <c r="H561" s="466">
        <v>21852</v>
      </c>
      <c r="I561" s="467">
        <v>17265</v>
      </c>
      <c r="J561" s="466">
        <v>6230</v>
      </c>
      <c r="K561" s="467">
        <v>6778</v>
      </c>
      <c r="L561" s="466">
        <v>6986</v>
      </c>
      <c r="M561" s="466">
        <v>0</v>
      </c>
      <c r="N561" s="466"/>
      <c r="O561" s="467">
        <v>12845</v>
      </c>
      <c r="P561" s="467"/>
      <c r="Q561" s="467"/>
      <c r="R561" s="466"/>
      <c r="S561" s="467"/>
      <c r="T561" s="464">
        <f t="shared" si="50"/>
        <v>0</v>
      </c>
      <c r="U561" s="465">
        <f t="shared" si="53"/>
        <v>0</v>
      </c>
      <c r="V561" s="466"/>
      <c r="W561" s="467"/>
      <c r="X561" s="466"/>
      <c r="Y561" s="467"/>
      <c r="Z561" s="466"/>
      <c r="AA561" s="466"/>
      <c r="AB561" s="466"/>
      <c r="AC561" s="467"/>
      <c r="AD561" s="467"/>
      <c r="AE561" s="467"/>
      <c r="AF561" s="466"/>
      <c r="AG561" s="467"/>
    </row>
    <row r="562" spans="1:33">
      <c r="A562" s="437" t="s">
        <v>477</v>
      </c>
      <c r="B562" s="379" t="s">
        <v>486</v>
      </c>
      <c r="C562" s="380" t="s">
        <v>915</v>
      </c>
      <c r="D562" s="381">
        <v>237899</v>
      </c>
      <c r="E562" s="381">
        <v>6</v>
      </c>
      <c r="F562" s="464">
        <f t="shared" si="51"/>
        <v>69562</v>
      </c>
      <c r="G562" s="465">
        <f t="shared" si="52"/>
        <v>65039</v>
      </c>
      <c r="H562" s="466">
        <v>31093</v>
      </c>
      <c r="I562" s="467">
        <v>26195</v>
      </c>
      <c r="J562" s="466">
        <v>18617</v>
      </c>
      <c r="K562" s="467">
        <v>13817</v>
      </c>
      <c r="L562" s="466">
        <v>19852</v>
      </c>
      <c r="M562" s="466">
        <v>0</v>
      </c>
      <c r="N562" s="466"/>
      <c r="O562" s="467">
        <v>25027</v>
      </c>
      <c r="P562" s="467"/>
      <c r="Q562" s="467"/>
      <c r="R562" s="466"/>
      <c r="S562" s="467"/>
      <c r="T562" s="464">
        <f t="shared" si="50"/>
        <v>2419</v>
      </c>
      <c r="U562" s="465">
        <f t="shared" si="53"/>
        <v>2353</v>
      </c>
      <c r="V562" s="466">
        <v>1789</v>
      </c>
      <c r="W562" s="467">
        <v>1696</v>
      </c>
      <c r="X562" s="466">
        <v>3</v>
      </c>
      <c r="Y562" s="467">
        <v>0</v>
      </c>
      <c r="Z562" s="466">
        <v>627</v>
      </c>
      <c r="AA562" s="466"/>
      <c r="AB562" s="466"/>
      <c r="AC562" s="467">
        <v>657</v>
      </c>
      <c r="AD562" s="467"/>
      <c r="AE562" s="467"/>
      <c r="AF562" s="466"/>
      <c r="AG562" s="467"/>
    </row>
    <row r="563" spans="1:33" s="14" customFormat="1" ht="12.75" customHeight="1">
      <c r="A563" s="437" t="s">
        <v>477</v>
      </c>
      <c r="B563" s="379" t="s">
        <v>488</v>
      </c>
      <c r="C563" s="380"/>
      <c r="D563" s="381">
        <v>237950</v>
      </c>
      <c r="E563" s="381">
        <v>6</v>
      </c>
      <c r="F563" s="464">
        <f t="shared" si="51"/>
        <v>40412</v>
      </c>
      <c r="G563" s="465">
        <f t="shared" si="52"/>
        <v>39462</v>
      </c>
      <c r="H563" s="466">
        <v>31646</v>
      </c>
      <c r="I563" s="467">
        <v>28265</v>
      </c>
      <c r="J563" s="466">
        <v>282</v>
      </c>
      <c r="K563" s="467">
        <v>125</v>
      </c>
      <c r="L563" s="466">
        <v>8482</v>
      </c>
      <c r="M563" s="466">
        <v>0</v>
      </c>
      <c r="N563" s="466">
        <v>2</v>
      </c>
      <c r="O563" s="467">
        <v>11072</v>
      </c>
      <c r="P563" s="467"/>
      <c r="Q563" s="467"/>
      <c r="R563" s="466"/>
      <c r="S563" s="467"/>
      <c r="T563" s="464">
        <f t="shared" si="50"/>
        <v>0</v>
      </c>
      <c r="U563" s="465">
        <f t="shared" si="53"/>
        <v>0</v>
      </c>
      <c r="V563" s="466"/>
      <c r="W563" s="467"/>
      <c r="X563" s="466"/>
      <c r="Y563" s="467"/>
      <c r="Z563" s="466"/>
      <c r="AA563" s="466"/>
      <c r="AB563" s="466"/>
      <c r="AC563" s="467"/>
      <c r="AD563" s="467"/>
      <c r="AE563" s="467"/>
      <c r="AF563" s="466"/>
      <c r="AG563" s="467"/>
    </row>
    <row r="564" spans="1:33" s="14" customFormat="1" ht="12.75" customHeight="1">
      <c r="A564" s="437" t="s">
        <v>477</v>
      </c>
      <c r="B564" s="379" t="s">
        <v>489</v>
      </c>
      <c r="C564" s="380"/>
      <c r="D564" s="381">
        <v>237701</v>
      </c>
      <c r="E564" s="381">
        <v>7</v>
      </c>
      <c r="F564" s="464">
        <f t="shared" si="51"/>
        <v>32548</v>
      </c>
      <c r="G564" s="465">
        <f t="shared" si="52"/>
        <v>31688</v>
      </c>
      <c r="H564" s="466">
        <v>26067</v>
      </c>
      <c r="I564" s="467">
        <v>21400</v>
      </c>
      <c r="J564" s="466">
        <v>2063</v>
      </c>
      <c r="K564" s="467">
        <v>1886</v>
      </c>
      <c r="L564" s="466">
        <v>4402</v>
      </c>
      <c r="M564" s="466">
        <v>0</v>
      </c>
      <c r="N564" s="466">
        <v>16</v>
      </c>
      <c r="O564" s="467">
        <v>8399</v>
      </c>
      <c r="P564" s="467"/>
      <c r="Q564" s="467">
        <v>3</v>
      </c>
      <c r="R564" s="466"/>
      <c r="S564" s="467"/>
      <c r="T564" s="464">
        <f t="shared" si="50"/>
        <v>0</v>
      </c>
      <c r="U564" s="465">
        <f t="shared" si="53"/>
        <v>0</v>
      </c>
      <c r="V564" s="466"/>
      <c r="W564" s="467"/>
      <c r="X564" s="466"/>
      <c r="Y564" s="467"/>
      <c r="Z564" s="466"/>
      <c r="AA564" s="466"/>
      <c r="AB564" s="466"/>
      <c r="AC564" s="467"/>
      <c r="AD564" s="467"/>
      <c r="AE564" s="467"/>
      <c r="AF564" s="466"/>
      <c r="AG564" s="467"/>
    </row>
    <row r="565" spans="1:33">
      <c r="A565" s="437" t="s">
        <v>477</v>
      </c>
      <c r="B565" s="379" t="s">
        <v>487</v>
      </c>
      <c r="C565" s="380" t="s">
        <v>912</v>
      </c>
      <c r="D565" s="381">
        <v>237686</v>
      </c>
      <c r="E565" s="381">
        <v>7</v>
      </c>
      <c r="F565" s="464">
        <f t="shared" si="51"/>
        <v>53924</v>
      </c>
      <c r="G565" s="465">
        <f t="shared" si="52"/>
        <v>54053</v>
      </c>
      <c r="H565" s="466">
        <v>22376</v>
      </c>
      <c r="I565" s="467">
        <v>26296</v>
      </c>
      <c r="J565" s="466">
        <v>4162</v>
      </c>
      <c r="K565" s="467">
        <v>3738</v>
      </c>
      <c r="L565" s="466">
        <v>27386</v>
      </c>
      <c r="M565" s="466">
        <v>0</v>
      </c>
      <c r="N565" s="466"/>
      <c r="O565" s="467">
        <v>24019</v>
      </c>
      <c r="P565" s="467"/>
      <c r="Q565" s="467"/>
      <c r="R565" s="466"/>
      <c r="S565" s="467"/>
      <c r="T565" s="464">
        <f t="shared" si="50"/>
        <v>0</v>
      </c>
      <c r="U565" s="465">
        <f t="shared" si="53"/>
        <v>0</v>
      </c>
      <c r="V565" s="466"/>
      <c r="W565" s="467"/>
      <c r="X565" s="466"/>
      <c r="Y565" s="467"/>
      <c r="Z565" s="466"/>
      <c r="AA565" s="466"/>
      <c r="AB565" s="466"/>
      <c r="AC565" s="467"/>
      <c r="AD565" s="467"/>
      <c r="AE565" s="467"/>
      <c r="AF565" s="466"/>
      <c r="AG565" s="467"/>
    </row>
    <row r="566" spans="1:33" s="14" customFormat="1" ht="15" customHeight="1">
      <c r="A566" s="437" t="s">
        <v>477</v>
      </c>
      <c r="B566" s="379" t="s">
        <v>492</v>
      </c>
      <c r="C566" s="380" t="s">
        <v>909</v>
      </c>
      <c r="D566" s="381">
        <v>446774</v>
      </c>
      <c r="E566" s="381">
        <v>9</v>
      </c>
      <c r="F566" s="464">
        <f t="shared" si="51"/>
        <v>65355</v>
      </c>
      <c r="G566" s="465">
        <f t="shared" si="52"/>
        <v>50852</v>
      </c>
      <c r="H566" s="466">
        <v>41487</v>
      </c>
      <c r="I566" s="467">
        <v>17828</v>
      </c>
      <c r="J566" s="466">
        <v>8876</v>
      </c>
      <c r="K566" s="467">
        <v>4962</v>
      </c>
      <c r="L566" s="466">
        <v>14992</v>
      </c>
      <c r="M566" s="466">
        <v>0</v>
      </c>
      <c r="N566" s="466"/>
      <c r="O566" s="467">
        <v>28062</v>
      </c>
      <c r="P566" s="467"/>
      <c r="Q566" s="467"/>
      <c r="R566" s="466"/>
      <c r="S566" s="467"/>
      <c r="T566" s="464">
        <f t="shared" si="50"/>
        <v>0</v>
      </c>
      <c r="U566" s="465">
        <f t="shared" si="53"/>
        <v>0</v>
      </c>
      <c r="V566" s="466"/>
      <c r="W566" s="467"/>
      <c r="X566" s="466"/>
      <c r="Y566" s="467"/>
      <c r="Z566" s="466"/>
      <c r="AA566" s="466"/>
      <c r="AB566" s="466"/>
      <c r="AC566" s="467"/>
      <c r="AD566" s="467"/>
      <c r="AE566" s="467"/>
      <c r="AF566" s="466"/>
      <c r="AG566" s="467"/>
    </row>
    <row r="567" spans="1:33" s="14" customFormat="1" ht="15" customHeight="1">
      <c r="A567" s="437" t="s">
        <v>477</v>
      </c>
      <c r="B567" s="398" t="s">
        <v>493</v>
      </c>
      <c r="C567" s="380"/>
      <c r="D567" s="399">
        <v>484932</v>
      </c>
      <c r="E567" s="381">
        <v>10</v>
      </c>
      <c r="F567" s="464">
        <f t="shared" si="51"/>
        <v>37751</v>
      </c>
      <c r="G567" s="465">
        <f t="shared" si="52"/>
        <v>36783</v>
      </c>
      <c r="H567" s="466">
        <v>28246</v>
      </c>
      <c r="I567" s="467">
        <v>25317</v>
      </c>
      <c r="J567" s="466">
        <v>21</v>
      </c>
      <c r="K567" s="467">
        <v>14</v>
      </c>
      <c r="L567" s="466">
        <v>9484</v>
      </c>
      <c r="M567" s="466">
        <v>0</v>
      </c>
      <c r="N567" s="466"/>
      <c r="O567" s="467">
        <v>11452</v>
      </c>
      <c r="P567" s="467"/>
      <c r="Q567" s="467"/>
      <c r="R567" s="466"/>
      <c r="S567" s="467"/>
      <c r="T567" s="464">
        <f t="shared" si="50"/>
        <v>0</v>
      </c>
      <c r="U567" s="465">
        <f t="shared" si="53"/>
        <v>0</v>
      </c>
      <c r="V567" s="466"/>
      <c r="W567" s="467"/>
      <c r="X567" s="466"/>
      <c r="Y567" s="467"/>
      <c r="Z567" s="466"/>
      <c r="AA567" s="466"/>
      <c r="AB567" s="466"/>
      <c r="AC567" s="467"/>
      <c r="AD567" s="467"/>
      <c r="AE567" s="467"/>
      <c r="AF567" s="466"/>
      <c r="AG567" s="467"/>
    </row>
    <row r="568" spans="1:33" s="14" customFormat="1" ht="12.75" customHeight="1">
      <c r="A568" s="437" t="s">
        <v>477</v>
      </c>
      <c r="B568" s="379" t="s">
        <v>494</v>
      </c>
      <c r="C568" s="380"/>
      <c r="D568" s="381">
        <v>438708</v>
      </c>
      <c r="E568" s="381">
        <v>10</v>
      </c>
      <c r="F568" s="464">
        <f t="shared" si="51"/>
        <v>7607</v>
      </c>
      <c r="G568" s="465">
        <f t="shared" si="52"/>
        <v>6596</v>
      </c>
      <c r="H568" s="466">
        <v>3541</v>
      </c>
      <c r="I568" s="467">
        <v>2126</v>
      </c>
      <c r="J568" s="466">
        <v>1840</v>
      </c>
      <c r="K568" s="467">
        <v>1140</v>
      </c>
      <c r="L568" s="466">
        <v>2226</v>
      </c>
      <c r="M568" s="466">
        <v>0</v>
      </c>
      <c r="N568" s="466"/>
      <c r="O568" s="467">
        <v>3330</v>
      </c>
      <c r="P568" s="467"/>
      <c r="Q568" s="467"/>
      <c r="R568" s="466"/>
      <c r="S568" s="467"/>
      <c r="T568" s="464">
        <f t="shared" si="50"/>
        <v>0</v>
      </c>
      <c r="U568" s="465">
        <f t="shared" si="53"/>
        <v>0</v>
      </c>
      <c r="V568" s="466"/>
      <c r="W568" s="467"/>
      <c r="X568" s="466"/>
      <c r="Y568" s="467"/>
      <c r="Z568" s="466"/>
      <c r="AA568" s="466"/>
      <c r="AB568" s="466"/>
      <c r="AC568" s="467"/>
      <c r="AD568" s="467"/>
      <c r="AE568" s="467"/>
      <c r="AF568" s="466"/>
      <c r="AG568" s="467"/>
    </row>
    <row r="569" spans="1:33" s="14" customFormat="1" ht="12.75" customHeight="1">
      <c r="A569" s="437" t="s">
        <v>477</v>
      </c>
      <c r="B569" s="379" t="s">
        <v>495</v>
      </c>
      <c r="C569" s="380"/>
      <c r="D569" s="381">
        <v>444954</v>
      </c>
      <c r="E569" s="381">
        <v>10</v>
      </c>
      <c r="F569" s="464">
        <f t="shared" si="51"/>
        <v>41061</v>
      </c>
      <c r="G569" s="465">
        <f t="shared" si="52"/>
        <v>33709</v>
      </c>
      <c r="H569" s="466">
        <v>23816</v>
      </c>
      <c r="I569" s="467">
        <v>18883</v>
      </c>
      <c r="J569" s="466">
        <v>5940</v>
      </c>
      <c r="K569" s="467">
        <v>2207</v>
      </c>
      <c r="L569" s="466">
        <v>11305</v>
      </c>
      <c r="M569" s="466">
        <v>0</v>
      </c>
      <c r="N569" s="466"/>
      <c r="O569" s="467">
        <v>12619</v>
      </c>
      <c r="P569" s="467"/>
      <c r="Q569" s="467"/>
      <c r="R569" s="466"/>
      <c r="S569" s="467"/>
      <c r="T569" s="464">
        <f t="shared" ref="T569:T573" si="54">SUM(V569,X569,Z569,AA569,AB569,AF569)</f>
        <v>0</v>
      </c>
      <c r="U569" s="465">
        <f t="shared" si="53"/>
        <v>0</v>
      </c>
      <c r="V569" s="466"/>
      <c r="W569" s="467"/>
      <c r="X569" s="466"/>
      <c r="Y569" s="467"/>
      <c r="Z569" s="466"/>
      <c r="AA569" s="466"/>
      <c r="AB569" s="466"/>
      <c r="AC569" s="467"/>
      <c r="AD569" s="467"/>
      <c r="AE569" s="467"/>
      <c r="AF569" s="466"/>
      <c r="AG569" s="467"/>
    </row>
    <row r="570" spans="1:33" s="14" customFormat="1" ht="12.75" customHeight="1">
      <c r="A570" s="437" t="s">
        <v>477</v>
      </c>
      <c r="B570" s="379" t="s">
        <v>490</v>
      </c>
      <c r="C570" s="396"/>
      <c r="D570" s="381">
        <v>447582</v>
      </c>
      <c r="E570" s="381">
        <v>10</v>
      </c>
      <c r="F570" s="464">
        <f t="shared" si="51"/>
        <v>25691</v>
      </c>
      <c r="G570" s="465">
        <f t="shared" si="52"/>
        <v>25411</v>
      </c>
      <c r="H570" s="466">
        <v>15118</v>
      </c>
      <c r="I570" s="467">
        <v>14346</v>
      </c>
      <c r="J570" s="466">
        <v>0</v>
      </c>
      <c r="K570" s="467">
        <v>0</v>
      </c>
      <c r="L570" s="466">
        <v>10573</v>
      </c>
      <c r="M570" s="466">
        <v>0</v>
      </c>
      <c r="N570" s="466"/>
      <c r="O570" s="467">
        <v>11065</v>
      </c>
      <c r="P570" s="467"/>
      <c r="Q570" s="467"/>
      <c r="R570" s="466"/>
      <c r="S570" s="467"/>
      <c r="T570" s="464">
        <f t="shared" si="54"/>
        <v>0</v>
      </c>
      <c r="U570" s="465">
        <f t="shared" si="53"/>
        <v>0</v>
      </c>
      <c r="V570" s="466"/>
      <c r="W570" s="467"/>
      <c r="X570" s="466"/>
      <c r="Y570" s="467"/>
      <c r="Z570" s="466"/>
      <c r="AA570" s="466"/>
      <c r="AB570" s="466"/>
      <c r="AC570" s="467"/>
      <c r="AD570" s="467"/>
      <c r="AE570" s="467"/>
      <c r="AF570" s="466"/>
      <c r="AG570" s="467"/>
    </row>
    <row r="571" spans="1:33" s="14" customFormat="1" ht="12.75" customHeight="1">
      <c r="A571" s="437" t="s">
        <v>477</v>
      </c>
      <c r="B571" s="379" t="s">
        <v>491</v>
      </c>
      <c r="C571" s="396"/>
      <c r="D571" s="381">
        <v>443492</v>
      </c>
      <c r="E571" s="381">
        <v>10</v>
      </c>
      <c r="F571" s="464">
        <f t="shared" si="51"/>
        <v>38040</v>
      </c>
      <c r="G571" s="465">
        <f t="shared" si="52"/>
        <v>35579</v>
      </c>
      <c r="H571" s="466">
        <v>11262</v>
      </c>
      <c r="I571" s="467">
        <v>3272</v>
      </c>
      <c r="J571" s="466">
        <v>19563</v>
      </c>
      <c r="K571" s="467">
        <v>7798</v>
      </c>
      <c r="L571" s="466">
        <v>7215</v>
      </c>
      <c r="M571" s="466">
        <v>0</v>
      </c>
      <c r="N571" s="466"/>
      <c r="O571" s="467">
        <v>23102</v>
      </c>
      <c r="P571" s="467"/>
      <c r="Q571" s="467">
        <v>1407</v>
      </c>
      <c r="R571" s="466"/>
      <c r="S571" s="467"/>
      <c r="T571" s="464">
        <f t="shared" si="54"/>
        <v>0</v>
      </c>
      <c r="U571" s="465">
        <f t="shared" si="53"/>
        <v>0</v>
      </c>
      <c r="V571" s="466"/>
      <c r="W571" s="467"/>
      <c r="X571" s="466"/>
      <c r="Y571" s="467"/>
      <c r="Z571" s="466"/>
      <c r="AA571" s="466"/>
      <c r="AB571" s="466"/>
      <c r="AC571" s="467"/>
      <c r="AD571" s="467"/>
      <c r="AE571" s="467"/>
      <c r="AF571" s="466"/>
      <c r="AG571" s="467"/>
    </row>
    <row r="572" spans="1:33" s="14" customFormat="1" ht="12.75" customHeight="1">
      <c r="A572" s="437" t="s">
        <v>477</v>
      </c>
      <c r="B572" s="379" t="s">
        <v>496</v>
      </c>
      <c r="C572" s="380"/>
      <c r="D572" s="381">
        <v>237817</v>
      </c>
      <c r="E572" s="381">
        <v>10</v>
      </c>
      <c r="F572" s="464">
        <f t="shared" si="51"/>
        <v>32492</v>
      </c>
      <c r="G572" s="465">
        <f t="shared" si="52"/>
        <v>33407</v>
      </c>
      <c r="H572" s="466">
        <v>14321</v>
      </c>
      <c r="I572" s="467">
        <v>14149</v>
      </c>
      <c r="J572" s="466">
        <v>1247</v>
      </c>
      <c r="K572" s="467">
        <v>1100</v>
      </c>
      <c r="L572" s="466">
        <v>14754</v>
      </c>
      <c r="M572" s="466">
        <v>2170</v>
      </c>
      <c r="N572" s="466"/>
      <c r="O572" s="467">
        <v>16514</v>
      </c>
      <c r="P572" s="467">
        <v>1644</v>
      </c>
      <c r="Q572" s="467"/>
      <c r="R572" s="466"/>
      <c r="S572" s="467"/>
      <c r="T572" s="464">
        <f t="shared" si="54"/>
        <v>0</v>
      </c>
      <c r="U572" s="465">
        <f t="shared" si="53"/>
        <v>0</v>
      </c>
      <c r="V572" s="466"/>
      <c r="W572" s="467"/>
      <c r="X572" s="466"/>
      <c r="Y572" s="467"/>
      <c r="Z572" s="466"/>
      <c r="AA572" s="466"/>
      <c r="AB572" s="466"/>
      <c r="AC572" s="467"/>
      <c r="AD572" s="467"/>
      <c r="AE572" s="467"/>
      <c r="AF572" s="466"/>
      <c r="AG572" s="467"/>
    </row>
    <row r="573" spans="1:33">
      <c r="A573" s="437" t="s">
        <v>477</v>
      </c>
      <c r="B573" s="379" t="s">
        <v>497</v>
      </c>
      <c r="C573" s="382"/>
      <c r="D573" s="381">
        <v>238014</v>
      </c>
      <c r="E573" s="381">
        <v>10</v>
      </c>
      <c r="F573" s="464">
        <f t="shared" si="51"/>
        <v>30313</v>
      </c>
      <c r="G573" s="465">
        <f t="shared" si="52"/>
        <v>27865</v>
      </c>
      <c r="H573" s="466">
        <v>13677</v>
      </c>
      <c r="I573" s="467">
        <v>6648</v>
      </c>
      <c r="J573" s="466">
        <v>0</v>
      </c>
      <c r="K573" s="467">
        <v>0</v>
      </c>
      <c r="L573" s="466">
        <v>14519</v>
      </c>
      <c r="M573" s="466">
        <v>2117</v>
      </c>
      <c r="N573" s="466"/>
      <c r="O573" s="467">
        <v>20010</v>
      </c>
      <c r="P573" s="467">
        <v>1207</v>
      </c>
      <c r="Q573" s="467"/>
      <c r="R573" s="466"/>
      <c r="S573" s="467"/>
      <c r="T573" s="464">
        <f t="shared" si="54"/>
        <v>0</v>
      </c>
      <c r="U573" s="465">
        <f t="shared" si="53"/>
        <v>0</v>
      </c>
      <c r="V573" s="466"/>
      <c r="W573" s="467"/>
      <c r="X573" s="466"/>
      <c r="Y573" s="467"/>
      <c r="Z573" s="466"/>
      <c r="AA573" s="466"/>
      <c r="AB573" s="466"/>
      <c r="AC573" s="467"/>
      <c r="AD573" s="467"/>
      <c r="AE573" s="467"/>
      <c r="AF573" s="466"/>
      <c r="AG573" s="467"/>
    </row>
    <row r="574" spans="1:33" s="14" customFormat="1" ht="13.5" customHeight="1">
      <c r="A574" s="400" t="s">
        <v>477</v>
      </c>
      <c r="B574" s="355" t="s">
        <v>735</v>
      </c>
      <c r="C574" s="355"/>
      <c r="D574" s="358">
        <v>237729</v>
      </c>
      <c r="E574" s="400">
        <v>14</v>
      </c>
      <c r="F574" s="464">
        <f t="shared" ref="F574:F592" si="55">SUM(H574,J574,L574,M574,N574,R574)</f>
        <v>0</v>
      </c>
      <c r="G574" s="465">
        <f t="shared" ref="G574:G592" si="56">SUM(I574,K574,O574,P574,Q574,S574)</f>
        <v>0</v>
      </c>
      <c r="H574" s="466">
        <v>0</v>
      </c>
      <c r="I574" s="467"/>
      <c r="J574" s="466">
        <v>0</v>
      </c>
      <c r="K574" s="467"/>
      <c r="L574" s="466">
        <v>0</v>
      </c>
      <c r="M574" s="466">
        <v>0</v>
      </c>
      <c r="N574" s="466">
        <v>0</v>
      </c>
      <c r="O574" s="467"/>
      <c r="P574" s="467"/>
      <c r="Q574" s="467"/>
      <c r="R574" s="466">
        <v>0</v>
      </c>
      <c r="S574" s="467"/>
      <c r="T574" s="464">
        <f t="shared" ref="T574:T599" si="57">SUM(V574,X574,Z574,AA574,AB574,AF574)</f>
        <v>0</v>
      </c>
      <c r="U574" s="465">
        <f t="shared" ref="U574:U592" si="58">SUM(W574,Y574,AC574,AD574,AE574,AG574)</f>
        <v>0</v>
      </c>
      <c r="V574" s="466"/>
      <c r="W574" s="467"/>
      <c r="X574" s="466"/>
      <c r="Y574" s="467"/>
      <c r="Z574" s="466"/>
      <c r="AA574" s="466"/>
      <c r="AB574" s="466"/>
      <c r="AC574" s="467"/>
      <c r="AD574" s="467"/>
      <c r="AE574" s="467"/>
      <c r="AF574" s="466"/>
      <c r="AG574" s="467"/>
    </row>
    <row r="575" spans="1:33" customFormat="1" ht="12.65" customHeight="1">
      <c r="A575" s="400" t="s">
        <v>477</v>
      </c>
      <c r="B575" s="355" t="s">
        <v>498</v>
      </c>
      <c r="C575" s="355"/>
      <c r="D575" s="358">
        <v>237172</v>
      </c>
      <c r="E575" s="400">
        <v>14</v>
      </c>
      <c r="F575" s="464">
        <f t="shared" si="55"/>
        <v>0</v>
      </c>
      <c r="G575" s="465">
        <f t="shared" si="56"/>
        <v>0</v>
      </c>
      <c r="H575" s="466">
        <v>0</v>
      </c>
      <c r="I575" s="467"/>
      <c r="J575" s="466">
        <v>0</v>
      </c>
      <c r="K575" s="467"/>
      <c r="L575" s="466">
        <v>0</v>
      </c>
      <c r="M575" s="466">
        <v>0</v>
      </c>
      <c r="N575" s="466">
        <v>0</v>
      </c>
      <c r="O575" s="467"/>
      <c r="P575" s="467"/>
      <c r="Q575" s="467"/>
      <c r="R575" s="466">
        <v>0</v>
      </c>
      <c r="S575" s="467"/>
      <c r="T575" s="464">
        <f t="shared" si="57"/>
        <v>0</v>
      </c>
      <c r="U575" s="465">
        <f t="shared" si="58"/>
        <v>0</v>
      </c>
      <c r="V575" s="466"/>
      <c r="W575" s="467"/>
      <c r="X575" s="466"/>
      <c r="Y575" s="467"/>
      <c r="Z575" s="466"/>
      <c r="AA575" s="466"/>
      <c r="AB575" s="466"/>
      <c r="AC575" s="467"/>
      <c r="AD575" s="467"/>
      <c r="AE575" s="467"/>
      <c r="AF575" s="466"/>
      <c r="AG575" s="467"/>
    </row>
    <row r="576" spans="1:33" customFormat="1" ht="12.65" customHeight="1">
      <c r="A576" s="453" t="s">
        <v>477</v>
      </c>
      <c r="B576" s="355" t="s">
        <v>736</v>
      </c>
      <c r="C576" s="355"/>
      <c r="D576" s="358">
        <v>237224</v>
      </c>
      <c r="E576" s="400">
        <v>14</v>
      </c>
      <c r="F576" s="464">
        <f t="shared" si="55"/>
        <v>0</v>
      </c>
      <c r="G576" s="465">
        <f t="shared" si="56"/>
        <v>0</v>
      </c>
      <c r="H576" s="466">
        <v>0</v>
      </c>
      <c r="I576" s="467"/>
      <c r="J576" s="466">
        <v>0</v>
      </c>
      <c r="K576" s="467"/>
      <c r="L576" s="466">
        <v>0</v>
      </c>
      <c r="M576" s="466">
        <v>0</v>
      </c>
      <c r="N576" s="466">
        <v>0</v>
      </c>
      <c r="O576" s="467"/>
      <c r="P576" s="467"/>
      <c r="Q576" s="467"/>
      <c r="R576" s="466">
        <v>0</v>
      </c>
      <c r="S576" s="467"/>
      <c r="T576" s="464">
        <f t="shared" si="57"/>
        <v>0</v>
      </c>
      <c r="U576" s="465">
        <f t="shared" si="58"/>
        <v>0</v>
      </c>
      <c r="V576" s="466"/>
      <c r="W576" s="467"/>
      <c r="X576" s="466"/>
      <c r="Y576" s="467"/>
      <c r="Z576" s="466"/>
      <c r="AA576" s="466"/>
      <c r="AB576" s="466"/>
      <c r="AC576" s="467"/>
      <c r="AD576" s="467"/>
      <c r="AE576" s="467"/>
      <c r="AF576" s="466"/>
      <c r="AG576" s="467"/>
    </row>
    <row r="577" spans="1:33" customFormat="1" ht="12.65" customHeight="1">
      <c r="A577" s="453" t="s">
        <v>477</v>
      </c>
      <c r="B577" s="355" t="s">
        <v>499</v>
      </c>
      <c r="C577" s="355"/>
      <c r="D577" s="358">
        <v>237242</v>
      </c>
      <c r="E577" s="400">
        <v>14</v>
      </c>
      <c r="F577" s="464">
        <f t="shared" si="55"/>
        <v>0</v>
      </c>
      <c r="G577" s="465">
        <f t="shared" si="56"/>
        <v>0</v>
      </c>
      <c r="H577" s="466">
        <v>0</v>
      </c>
      <c r="I577" s="467"/>
      <c r="J577" s="466">
        <v>0</v>
      </c>
      <c r="K577" s="467"/>
      <c r="L577" s="466">
        <v>0</v>
      </c>
      <c r="M577" s="466">
        <v>0</v>
      </c>
      <c r="N577" s="466">
        <v>0</v>
      </c>
      <c r="O577" s="467"/>
      <c r="P577" s="467"/>
      <c r="Q577" s="467"/>
      <c r="R577" s="466">
        <v>0</v>
      </c>
      <c r="S577" s="467"/>
      <c r="T577" s="464">
        <f t="shared" si="57"/>
        <v>0</v>
      </c>
      <c r="U577" s="465">
        <f t="shared" si="58"/>
        <v>0</v>
      </c>
      <c r="V577" s="466"/>
      <c r="W577" s="467"/>
      <c r="X577" s="466"/>
      <c r="Y577" s="467"/>
      <c r="Z577" s="466"/>
      <c r="AA577" s="466"/>
      <c r="AB577" s="466"/>
      <c r="AC577" s="467"/>
      <c r="AD577" s="467"/>
      <c r="AE577" s="467"/>
      <c r="AF577" s="466"/>
      <c r="AG577" s="467"/>
    </row>
    <row r="578" spans="1:33" customFormat="1" ht="12.65" customHeight="1">
      <c r="A578" s="400" t="s">
        <v>477</v>
      </c>
      <c r="B578" s="355" t="s">
        <v>737</v>
      </c>
      <c r="C578" s="355"/>
      <c r="D578" s="358">
        <v>430795</v>
      </c>
      <c r="E578" s="400">
        <v>14</v>
      </c>
      <c r="F578" s="464">
        <f t="shared" si="55"/>
        <v>0</v>
      </c>
      <c r="G578" s="465">
        <f t="shared" si="56"/>
        <v>0</v>
      </c>
      <c r="H578" s="466">
        <v>0</v>
      </c>
      <c r="I578" s="467"/>
      <c r="J578" s="466">
        <v>0</v>
      </c>
      <c r="K578" s="467"/>
      <c r="L578" s="466">
        <v>0</v>
      </c>
      <c r="M578" s="466">
        <v>0</v>
      </c>
      <c r="N578" s="466">
        <v>0</v>
      </c>
      <c r="O578" s="467"/>
      <c r="P578" s="467"/>
      <c r="Q578" s="467"/>
      <c r="R578" s="466">
        <v>0</v>
      </c>
      <c r="S578" s="467"/>
      <c r="T578" s="464">
        <f t="shared" si="57"/>
        <v>0</v>
      </c>
      <c r="U578" s="465">
        <f t="shared" si="58"/>
        <v>0</v>
      </c>
      <c r="V578" s="466"/>
      <c r="W578" s="467"/>
      <c r="X578" s="466"/>
      <c r="Y578" s="467"/>
      <c r="Z578" s="466"/>
      <c r="AA578" s="466"/>
      <c r="AB578" s="466"/>
      <c r="AC578" s="467"/>
      <c r="AD578" s="467"/>
      <c r="AE578" s="467"/>
      <c r="AF578" s="466"/>
      <c r="AG578" s="467"/>
    </row>
    <row r="579" spans="1:33" customFormat="1" ht="12.65" customHeight="1">
      <c r="A579" s="400" t="s">
        <v>477</v>
      </c>
      <c r="B579" s="355" t="s">
        <v>500</v>
      </c>
      <c r="C579" s="355"/>
      <c r="D579" s="358">
        <v>413176</v>
      </c>
      <c r="E579" s="400">
        <v>14</v>
      </c>
      <c r="F579" s="464">
        <f t="shared" si="55"/>
        <v>0</v>
      </c>
      <c r="G579" s="465">
        <f t="shared" si="56"/>
        <v>0</v>
      </c>
      <c r="H579" s="466">
        <v>0</v>
      </c>
      <c r="I579" s="467"/>
      <c r="J579" s="466">
        <v>0</v>
      </c>
      <c r="K579" s="467"/>
      <c r="L579" s="466">
        <v>0</v>
      </c>
      <c r="M579" s="466">
        <v>0</v>
      </c>
      <c r="N579" s="466">
        <v>0</v>
      </c>
      <c r="O579" s="467"/>
      <c r="P579" s="467"/>
      <c r="Q579" s="467"/>
      <c r="R579" s="466">
        <v>0</v>
      </c>
      <c r="S579" s="467"/>
      <c r="T579" s="464">
        <f t="shared" si="57"/>
        <v>0</v>
      </c>
      <c r="U579" s="465">
        <f t="shared" si="58"/>
        <v>0</v>
      </c>
      <c r="V579" s="466"/>
      <c r="W579" s="467"/>
      <c r="X579" s="466"/>
      <c r="Y579" s="467"/>
      <c r="Z579" s="466"/>
      <c r="AA579" s="466"/>
      <c r="AB579" s="466"/>
      <c r="AC579" s="467"/>
      <c r="AD579" s="467"/>
      <c r="AE579" s="467"/>
      <c r="AF579" s="466"/>
      <c r="AG579" s="467"/>
    </row>
    <row r="580" spans="1:33" customFormat="1" ht="12.65" customHeight="1">
      <c r="A580" s="453" t="s">
        <v>477</v>
      </c>
      <c r="B580" s="355" t="s">
        <v>501</v>
      </c>
      <c r="C580" s="355"/>
      <c r="D580" s="358">
        <v>237844</v>
      </c>
      <c r="E580" s="400">
        <v>14</v>
      </c>
      <c r="F580" s="464">
        <f t="shared" si="55"/>
        <v>0</v>
      </c>
      <c r="G580" s="465">
        <f t="shared" si="56"/>
        <v>0</v>
      </c>
      <c r="H580" s="466">
        <v>0</v>
      </c>
      <c r="I580" s="467"/>
      <c r="J580" s="466">
        <v>0</v>
      </c>
      <c r="K580" s="467"/>
      <c r="L580" s="466">
        <v>0</v>
      </c>
      <c r="M580" s="466">
        <v>0</v>
      </c>
      <c r="N580" s="466">
        <v>0</v>
      </c>
      <c r="O580" s="467"/>
      <c r="P580" s="467"/>
      <c r="Q580" s="467"/>
      <c r="R580" s="466">
        <v>0</v>
      </c>
      <c r="S580" s="467"/>
      <c r="T580" s="464">
        <f t="shared" si="57"/>
        <v>0</v>
      </c>
      <c r="U580" s="465">
        <f t="shared" si="58"/>
        <v>0</v>
      </c>
      <c r="V580" s="466"/>
      <c r="W580" s="467"/>
      <c r="X580" s="466"/>
      <c r="Y580" s="467"/>
      <c r="Z580" s="466"/>
      <c r="AA580" s="466"/>
      <c r="AB580" s="466"/>
      <c r="AC580" s="467"/>
      <c r="AD580" s="467"/>
      <c r="AE580" s="467"/>
      <c r="AF580" s="466"/>
      <c r="AG580" s="467"/>
    </row>
    <row r="581" spans="1:33" customFormat="1" ht="12.65" customHeight="1">
      <c r="A581" s="453" t="s">
        <v>477</v>
      </c>
      <c r="B581" s="355" t="s">
        <v>502</v>
      </c>
      <c r="C581" s="355"/>
      <c r="D581" s="358">
        <v>431169</v>
      </c>
      <c r="E581" s="400">
        <v>14</v>
      </c>
      <c r="F581" s="464">
        <f t="shared" si="55"/>
        <v>0</v>
      </c>
      <c r="G581" s="465">
        <f t="shared" si="56"/>
        <v>0</v>
      </c>
      <c r="H581" s="466">
        <v>0</v>
      </c>
      <c r="I581" s="467"/>
      <c r="J581" s="466">
        <v>0</v>
      </c>
      <c r="K581" s="467"/>
      <c r="L581" s="466">
        <v>0</v>
      </c>
      <c r="M581" s="466">
        <v>0</v>
      </c>
      <c r="N581" s="466">
        <v>0</v>
      </c>
      <c r="O581" s="467"/>
      <c r="P581" s="467"/>
      <c r="Q581" s="467"/>
      <c r="R581" s="466">
        <v>0</v>
      </c>
      <c r="S581" s="467"/>
      <c r="T581" s="464">
        <f t="shared" si="57"/>
        <v>0</v>
      </c>
      <c r="U581" s="465">
        <f t="shared" si="58"/>
        <v>0</v>
      </c>
      <c r="V581" s="466"/>
      <c r="W581" s="467"/>
      <c r="X581" s="466"/>
      <c r="Y581" s="467"/>
      <c r="Z581" s="466"/>
      <c r="AA581" s="466"/>
      <c r="AB581" s="466"/>
      <c r="AC581" s="467"/>
      <c r="AD581" s="467"/>
      <c r="AE581" s="467"/>
      <c r="AF581" s="466"/>
      <c r="AG581" s="467"/>
    </row>
    <row r="582" spans="1:33" customFormat="1" ht="12.65" customHeight="1">
      <c r="A582" s="400" t="s">
        <v>477</v>
      </c>
      <c r="B582" s="355" t="s">
        <v>503</v>
      </c>
      <c r="C582" s="355"/>
      <c r="D582" s="358">
        <v>237473</v>
      </c>
      <c r="E582" s="400">
        <v>14</v>
      </c>
      <c r="F582" s="464">
        <f t="shared" si="55"/>
        <v>0</v>
      </c>
      <c r="G582" s="465">
        <f t="shared" si="56"/>
        <v>0</v>
      </c>
      <c r="H582" s="466">
        <v>0</v>
      </c>
      <c r="I582" s="467"/>
      <c r="J582" s="466">
        <v>0</v>
      </c>
      <c r="K582" s="467"/>
      <c r="L582" s="466">
        <v>0</v>
      </c>
      <c r="M582" s="466">
        <v>0</v>
      </c>
      <c r="N582" s="466">
        <v>0</v>
      </c>
      <c r="O582" s="467"/>
      <c r="P582" s="467"/>
      <c r="Q582" s="467"/>
      <c r="R582" s="466">
        <v>0</v>
      </c>
      <c r="S582" s="467"/>
      <c r="T582" s="464">
        <f t="shared" si="57"/>
        <v>0</v>
      </c>
      <c r="U582" s="465">
        <f t="shared" si="58"/>
        <v>0</v>
      </c>
      <c r="V582" s="466"/>
      <c r="W582" s="467"/>
      <c r="X582" s="466"/>
      <c r="Y582" s="467"/>
      <c r="Z582" s="466"/>
      <c r="AA582" s="466"/>
      <c r="AB582" s="466"/>
      <c r="AC582" s="467"/>
      <c r="AD582" s="467"/>
      <c r="AE582" s="467"/>
      <c r="AF582" s="466"/>
      <c r="AG582" s="467"/>
    </row>
    <row r="583" spans="1:33" customFormat="1" ht="12.65" customHeight="1">
      <c r="A583" s="453" t="s">
        <v>477</v>
      </c>
      <c r="B583" s="355" t="s">
        <v>504</v>
      </c>
      <c r="C583" s="355"/>
      <c r="D583" s="358">
        <v>446349</v>
      </c>
      <c r="E583" s="400">
        <v>14</v>
      </c>
      <c r="F583" s="464">
        <f t="shared" si="55"/>
        <v>0</v>
      </c>
      <c r="G583" s="465">
        <f t="shared" si="56"/>
        <v>0</v>
      </c>
      <c r="H583" s="466">
        <v>0</v>
      </c>
      <c r="I583" s="467"/>
      <c r="J583" s="466">
        <v>0</v>
      </c>
      <c r="K583" s="467"/>
      <c r="L583" s="466">
        <v>0</v>
      </c>
      <c r="M583" s="466">
        <v>0</v>
      </c>
      <c r="N583" s="466">
        <v>0</v>
      </c>
      <c r="O583" s="467"/>
      <c r="P583" s="467"/>
      <c r="Q583" s="467"/>
      <c r="R583" s="466">
        <v>0</v>
      </c>
      <c r="S583" s="467"/>
      <c r="T583" s="464">
        <f t="shared" si="57"/>
        <v>0</v>
      </c>
      <c r="U583" s="465">
        <f t="shared" si="58"/>
        <v>0</v>
      </c>
      <c r="V583" s="466"/>
      <c r="W583" s="467"/>
      <c r="X583" s="466"/>
      <c r="Y583" s="467"/>
      <c r="Z583" s="466"/>
      <c r="AA583" s="466"/>
      <c r="AB583" s="466"/>
      <c r="AC583" s="467"/>
      <c r="AD583" s="467"/>
      <c r="AE583" s="467"/>
      <c r="AF583" s="466"/>
      <c r="AG583" s="467"/>
    </row>
    <row r="584" spans="1:33" customFormat="1" ht="12.65" customHeight="1">
      <c r="A584" s="453" t="s">
        <v>477</v>
      </c>
      <c r="B584" s="355" t="s">
        <v>738</v>
      </c>
      <c r="C584" s="355"/>
      <c r="D584" s="358">
        <v>237516</v>
      </c>
      <c r="E584" s="400">
        <v>14</v>
      </c>
      <c r="F584" s="464">
        <f t="shared" si="55"/>
        <v>0</v>
      </c>
      <c r="G584" s="465">
        <f t="shared" si="56"/>
        <v>0</v>
      </c>
      <c r="H584" s="466">
        <v>0</v>
      </c>
      <c r="I584" s="467"/>
      <c r="J584" s="466">
        <v>0</v>
      </c>
      <c r="K584" s="467"/>
      <c r="L584" s="466">
        <v>0</v>
      </c>
      <c r="M584" s="466">
        <v>0</v>
      </c>
      <c r="N584" s="466">
        <v>0</v>
      </c>
      <c r="O584" s="467"/>
      <c r="P584" s="467"/>
      <c r="Q584" s="467"/>
      <c r="R584" s="466">
        <v>0</v>
      </c>
      <c r="S584" s="467"/>
      <c r="T584" s="464">
        <f t="shared" si="57"/>
        <v>0</v>
      </c>
      <c r="U584" s="465">
        <f t="shared" si="58"/>
        <v>0</v>
      </c>
      <c r="V584" s="466"/>
      <c r="W584" s="467"/>
      <c r="X584" s="466"/>
      <c r="Y584" s="467"/>
      <c r="Z584" s="466"/>
      <c r="AA584" s="466"/>
      <c r="AB584" s="466"/>
      <c r="AC584" s="467"/>
      <c r="AD584" s="467"/>
      <c r="AE584" s="467"/>
      <c r="AF584" s="466"/>
      <c r="AG584" s="467"/>
    </row>
    <row r="585" spans="1:33" customFormat="1" ht="12.65" customHeight="1">
      <c r="A585" s="453" t="s">
        <v>477</v>
      </c>
      <c r="B585" s="355" t="s">
        <v>739</v>
      </c>
      <c r="C585" s="355"/>
      <c r="D585" s="358">
        <v>237534</v>
      </c>
      <c r="E585" s="400">
        <v>14</v>
      </c>
      <c r="F585" s="464">
        <f t="shared" si="55"/>
        <v>0</v>
      </c>
      <c r="G585" s="465">
        <f t="shared" si="56"/>
        <v>0</v>
      </c>
      <c r="H585" s="466">
        <v>0</v>
      </c>
      <c r="I585" s="467"/>
      <c r="J585" s="466">
        <v>0</v>
      </c>
      <c r="K585" s="467"/>
      <c r="L585" s="466">
        <v>0</v>
      </c>
      <c r="M585" s="466">
        <v>0</v>
      </c>
      <c r="N585" s="466">
        <v>0</v>
      </c>
      <c r="O585" s="467"/>
      <c r="P585" s="467"/>
      <c r="Q585" s="467"/>
      <c r="R585" s="466">
        <v>0</v>
      </c>
      <c r="S585" s="467"/>
      <c r="T585" s="464">
        <f t="shared" si="57"/>
        <v>0</v>
      </c>
      <c r="U585" s="465">
        <f t="shared" si="58"/>
        <v>0</v>
      </c>
      <c r="V585" s="466"/>
      <c r="W585" s="467"/>
      <c r="X585" s="466"/>
      <c r="Y585" s="467"/>
      <c r="Z585" s="466"/>
      <c r="AA585" s="466"/>
      <c r="AB585" s="466"/>
      <c r="AC585" s="467"/>
      <c r="AD585" s="467"/>
      <c r="AE585" s="467"/>
      <c r="AF585" s="466"/>
      <c r="AG585" s="467"/>
    </row>
    <row r="586" spans="1:33" customFormat="1" ht="12.65" customHeight="1">
      <c r="A586" s="400" t="s">
        <v>477</v>
      </c>
      <c r="B586" s="355" t="s">
        <v>505</v>
      </c>
      <c r="C586" s="355"/>
      <c r="D586" s="358">
        <v>237543</v>
      </c>
      <c r="E586" s="400">
        <v>14</v>
      </c>
      <c r="F586" s="464">
        <f t="shared" si="55"/>
        <v>0</v>
      </c>
      <c r="G586" s="465">
        <f t="shared" si="56"/>
        <v>0</v>
      </c>
      <c r="H586" s="466">
        <v>0</v>
      </c>
      <c r="I586" s="467"/>
      <c r="J586" s="466">
        <v>0</v>
      </c>
      <c r="K586" s="467"/>
      <c r="L586" s="466">
        <v>0</v>
      </c>
      <c r="M586" s="466">
        <v>0</v>
      </c>
      <c r="N586" s="466">
        <v>0</v>
      </c>
      <c r="O586" s="467"/>
      <c r="P586" s="467"/>
      <c r="Q586" s="467"/>
      <c r="R586" s="466">
        <v>0</v>
      </c>
      <c r="S586" s="467"/>
      <c r="T586" s="464">
        <f t="shared" si="57"/>
        <v>0</v>
      </c>
      <c r="U586" s="465">
        <f t="shared" si="58"/>
        <v>0</v>
      </c>
      <c r="V586" s="466"/>
      <c r="W586" s="467"/>
      <c r="X586" s="466"/>
      <c r="Y586" s="467"/>
      <c r="Z586" s="466"/>
      <c r="AA586" s="466"/>
      <c r="AB586" s="466"/>
      <c r="AC586" s="467"/>
      <c r="AD586" s="467"/>
      <c r="AE586" s="467"/>
      <c r="AF586" s="466"/>
      <c r="AG586" s="467"/>
    </row>
    <row r="587" spans="1:33" customFormat="1" ht="12.65" customHeight="1">
      <c r="A587" s="453" t="s">
        <v>477</v>
      </c>
      <c r="B587" s="355" t="s">
        <v>740</v>
      </c>
      <c r="C587" s="355"/>
      <c r="D587" s="358">
        <v>368647</v>
      </c>
      <c r="E587" s="400">
        <v>14</v>
      </c>
      <c r="F587" s="464">
        <f t="shared" si="55"/>
        <v>0</v>
      </c>
      <c r="G587" s="465">
        <f t="shared" si="56"/>
        <v>0</v>
      </c>
      <c r="H587" s="466">
        <v>0</v>
      </c>
      <c r="I587" s="467"/>
      <c r="J587" s="466">
        <v>0</v>
      </c>
      <c r="K587" s="467"/>
      <c r="L587" s="466">
        <v>0</v>
      </c>
      <c r="M587" s="466">
        <v>0</v>
      </c>
      <c r="N587" s="466">
        <v>0</v>
      </c>
      <c r="O587" s="467"/>
      <c r="P587" s="467"/>
      <c r="Q587" s="467"/>
      <c r="R587" s="466">
        <v>0</v>
      </c>
      <c r="S587" s="467"/>
      <c r="T587" s="464">
        <f t="shared" si="57"/>
        <v>0</v>
      </c>
      <c r="U587" s="465">
        <f t="shared" si="58"/>
        <v>0</v>
      </c>
      <c r="V587" s="466"/>
      <c r="W587" s="467"/>
      <c r="X587" s="466"/>
      <c r="Y587" s="467"/>
      <c r="Z587" s="466"/>
      <c r="AA587" s="466"/>
      <c r="AB587" s="466"/>
      <c r="AC587" s="467"/>
      <c r="AD587" s="467"/>
      <c r="AE587" s="467"/>
      <c r="AF587" s="466"/>
      <c r="AG587" s="467"/>
    </row>
    <row r="588" spans="1:33" customFormat="1" ht="12.65" customHeight="1">
      <c r="A588" s="453" t="s">
        <v>477</v>
      </c>
      <c r="B588" s="355" t="s">
        <v>506</v>
      </c>
      <c r="C588" s="355"/>
      <c r="D588" s="358">
        <v>237561</v>
      </c>
      <c r="E588" s="400">
        <v>14</v>
      </c>
      <c r="F588" s="464">
        <f t="shared" si="55"/>
        <v>0</v>
      </c>
      <c r="G588" s="465">
        <f t="shared" si="56"/>
        <v>0</v>
      </c>
      <c r="H588" s="466">
        <v>0</v>
      </c>
      <c r="I588" s="467"/>
      <c r="J588" s="466">
        <v>0</v>
      </c>
      <c r="K588" s="467"/>
      <c r="L588" s="466">
        <v>0</v>
      </c>
      <c r="M588" s="466">
        <v>0</v>
      </c>
      <c r="N588" s="466">
        <v>0</v>
      </c>
      <c r="O588" s="467"/>
      <c r="P588" s="467"/>
      <c r="Q588" s="467"/>
      <c r="R588" s="466">
        <v>0</v>
      </c>
      <c r="S588" s="467"/>
      <c r="T588" s="464">
        <f t="shared" si="57"/>
        <v>0</v>
      </c>
      <c r="U588" s="465">
        <f t="shared" si="58"/>
        <v>0</v>
      </c>
      <c r="V588" s="466"/>
      <c r="W588" s="467"/>
      <c r="X588" s="466"/>
      <c r="Y588" s="467"/>
      <c r="Z588" s="466"/>
      <c r="AA588" s="466"/>
      <c r="AB588" s="466"/>
      <c r="AC588" s="467"/>
      <c r="AD588" s="467"/>
      <c r="AE588" s="467"/>
      <c r="AF588" s="466"/>
      <c r="AG588" s="467"/>
    </row>
    <row r="589" spans="1:33" customFormat="1" ht="12.65" customHeight="1">
      <c r="A589" s="453" t="s">
        <v>477</v>
      </c>
      <c r="B589" s="355" t="s">
        <v>507</v>
      </c>
      <c r="C589" s="355"/>
      <c r="D589" s="358">
        <v>419420</v>
      </c>
      <c r="E589" s="400">
        <v>14</v>
      </c>
      <c r="F589" s="464">
        <f t="shared" si="55"/>
        <v>0</v>
      </c>
      <c r="G589" s="465">
        <f t="shared" si="56"/>
        <v>0</v>
      </c>
      <c r="H589" s="466">
        <v>0</v>
      </c>
      <c r="I589" s="467"/>
      <c r="J589" s="466">
        <v>0</v>
      </c>
      <c r="K589" s="467"/>
      <c r="L589" s="466">
        <v>0</v>
      </c>
      <c r="M589" s="466">
        <v>0</v>
      </c>
      <c r="N589" s="466">
        <v>0</v>
      </c>
      <c r="O589" s="467"/>
      <c r="P589" s="467"/>
      <c r="Q589" s="467"/>
      <c r="R589" s="466">
        <v>0</v>
      </c>
      <c r="S589" s="467"/>
      <c r="T589" s="464">
        <f t="shared" si="57"/>
        <v>0</v>
      </c>
      <c r="U589" s="465">
        <f t="shared" si="58"/>
        <v>0</v>
      </c>
      <c r="V589" s="466"/>
      <c r="W589" s="467"/>
      <c r="X589" s="466"/>
      <c r="Y589" s="467"/>
      <c r="Z589" s="466"/>
      <c r="AA589" s="466"/>
      <c r="AB589" s="466"/>
      <c r="AC589" s="467"/>
      <c r="AD589" s="467"/>
      <c r="AE589" s="467"/>
      <c r="AF589" s="466"/>
      <c r="AG589" s="467"/>
    </row>
    <row r="590" spans="1:33" customFormat="1" ht="12.65" customHeight="1">
      <c r="A590" s="453" t="s">
        <v>477</v>
      </c>
      <c r="B590" s="355" t="s">
        <v>508</v>
      </c>
      <c r="C590" s="355"/>
      <c r="D590" s="358">
        <v>237491</v>
      </c>
      <c r="E590" s="400">
        <v>14</v>
      </c>
      <c r="F590" s="464">
        <f t="shared" si="55"/>
        <v>0</v>
      </c>
      <c r="G590" s="465">
        <f t="shared" si="56"/>
        <v>0</v>
      </c>
      <c r="H590" s="466">
        <v>0</v>
      </c>
      <c r="I590" s="467"/>
      <c r="J590" s="466">
        <v>0</v>
      </c>
      <c r="K590" s="467"/>
      <c r="L590" s="466">
        <v>0</v>
      </c>
      <c r="M590" s="466">
        <v>0</v>
      </c>
      <c r="N590" s="466">
        <v>0</v>
      </c>
      <c r="O590" s="467"/>
      <c r="P590" s="467"/>
      <c r="Q590" s="467"/>
      <c r="R590" s="466">
        <v>0</v>
      </c>
      <c r="S590" s="467"/>
      <c r="T590" s="464">
        <f t="shared" si="57"/>
        <v>0</v>
      </c>
      <c r="U590" s="465">
        <f t="shared" si="58"/>
        <v>0</v>
      </c>
      <c r="V590" s="466"/>
      <c r="W590" s="467"/>
      <c r="X590" s="466"/>
      <c r="Y590" s="467"/>
      <c r="Z590" s="466"/>
      <c r="AA590" s="466"/>
      <c r="AB590" s="466"/>
      <c r="AC590" s="467"/>
      <c r="AD590" s="467"/>
      <c r="AE590" s="467"/>
      <c r="AF590" s="466"/>
      <c r="AG590" s="467"/>
    </row>
    <row r="591" spans="1:33" customFormat="1" ht="12.65" customHeight="1">
      <c r="A591" s="453" t="s">
        <v>477</v>
      </c>
      <c r="B591" s="355" t="s">
        <v>509</v>
      </c>
      <c r="C591" s="355"/>
      <c r="D591" s="358">
        <v>364575</v>
      </c>
      <c r="E591" s="400">
        <v>14</v>
      </c>
      <c r="F591" s="464">
        <f t="shared" si="55"/>
        <v>0</v>
      </c>
      <c r="G591" s="465">
        <f t="shared" si="56"/>
        <v>0</v>
      </c>
      <c r="H591" s="466">
        <v>0</v>
      </c>
      <c r="I591" s="467"/>
      <c r="J591" s="466">
        <v>0</v>
      </c>
      <c r="K591" s="467"/>
      <c r="L591" s="466">
        <v>0</v>
      </c>
      <c r="M591" s="466">
        <v>0</v>
      </c>
      <c r="N591" s="466">
        <v>0</v>
      </c>
      <c r="O591" s="467"/>
      <c r="P591" s="467"/>
      <c r="Q591" s="467"/>
      <c r="R591" s="466">
        <v>0</v>
      </c>
      <c r="S591" s="467"/>
      <c r="T591" s="464">
        <f t="shared" si="57"/>
        <v>0</v>
      </c>
      <c r="U591" s="465">
        <f t="shared" si="58"/>
        <v>0</v>
      </c>
      <c r="V591" s="466"/>
      <c r="W591" s="467"/>
      <c r="X591" s="466"/>
      <c r="Y591" s="467"/>
      <c r="Z591" s="466"/>
      <c r="AA591" s="466"/>
      <c r="AB591" s="466"/>
      <c r="AC591" s="467"/>
      <c r="AD591" s="467"/>
      <c r="AE591" s="467"/>
      <c r="AF591" s="466"/>
      <c r="AG591" s="467"/>
    </row>
    <row r="592" spans="1:33" customFormat="1" ht="12.65" customHeight="1">
      <c r="A592" s="453" t="s">
        <v>477</v>
      </c>
      <c r="B592" s="355" t="s">
        <v>510</v>
      </c>
      <c r="C592" s="355"/>
      <c r="D592" s="358">
        <v>441894</v>
      </c>
      <c r="E592" s="400">
        <v>14</v>
      </c>
      <c r="F592" s="464">
        <f t="shared" si="55"/>
        <v>0</v>
      </c>
      <c r="G592" s="465">
        <f t="shared" si="56"/>
        <v>0</v>
      </c>
      <c r="H592" s="466">
        <v>0</v>
      </c>
      <c r="I592" s="467"/>
      <c r="J592" s="466">
        <v>0</v>
      </c>
      <c r="K592" s="467"/>
      <c r="L592" s="466">
        <v>0</v>
      </c>
      <c r="M592" s="466">
        <v>0</v>
      </c>
      <c r="N592" s="466">
        <v>0</v>
      </c>
      <c r="O592" s="467"/>
      <c r="P592" s="467"/>
      <c r="Q592" s="467"/>
      <c r="R592" s="466">
        <v>0</v>
      </c>
      <c r="S592" s="467"/>
      <c r="T592" s="464">
        <f t="shared" si="57"/>
        <v>0</v>
      </c>
      <c r="U592" s="465">
        <f t="shared" si="58"/>
        <v>0</v>
      </c>
      <c r="V592" s="466"/>
      <c r="W592" s="467"/>
      <c r="X592" s="466"/>
      <c r="Y592" s="467"/>
      <c r="Z592" s="466"/>
      <c r="AA592" s="466"/>
      <c r="AB592" s="466"/>
      <c r="AC592" s="467"/>
      <c r="AD592" s="467"/>
      <c r="AE592" s="467"/>
      <c r="AF592" s="466"/>
      <c r="AG592" s="467"/>
    </row>
    <row r="593" spans="1:33" customFormat="1" ht="12.65" customHeight="1">
      <c r="A593" s="453" t="s">
        <v>477</v>
      </c>
      <c r="B593" s="355" t="s">
        <v>511</v>
      </c>
      <c r="C593" s="355"/>
      <c r="D593" s="358">
        <v>419031</v>
      </c>
      <c r="E593" s="400">
        <v>14</v>
      </c>
      <c r="F593" s="464">
        <f t="shared" ref="F593:F599" si="59">SUM(H593,J593,L593,M593,N593,R593)</f>
        <v>0</v>
      </c>
      <c r="G593" s="465">
        <f t="shared" ref="G593:G599" si="60">SUM(I593,K593,O593,P593,Q593,S593)</f>
        <v>0</v>
      </c>
      <c r="H593" s="466">
        <v>0</v>
      </c>
      <c r="I593" s="467"/>
      <c r="J593" s="466">
        <v>0</v>
      </c>
      <c r="K593" s="467"/>
      <c r="L593" s="466">
        <v>0</v>
      </c>
      <c r="M593" s="466">
        <v>0</v>
      </c>
      <c r="N593" s="466">
        <v>0</v>
      </c>
      <c r="O593" s="467"/>
      <c r="P593" s="467"/>
      <c r="Q593" s="467"/>
      <c r="R593" s="466">
        <v>0</v>
      </c>
      <c r="S593" s="467"/>
      <c r="T593" s="464">
        <f t="shared" si="57"/>
        <v>0</v>
      </c>
      <c r="U593" s="465">
        <f t="shared" ref="U593:U599" si="61">SUM(W593,Y593,AC593,AD593,AE593,AG593)</f>
        <v>0</v>
      </c>
      <c r="V593" s="466"/>
      <c r="W593" s="467"/>
      <c r="X593" s="466"/>
      <c r="Y593" s="467"/>
      <c r="Z593" s="466"/>
      <c r="AA593" s="466"/>
      <c r="AB593" s="466"/>
      <c r="AC593" s="467"/>
      <c r="AD593" s="467"/>
      <c r="AE593" s="467"/>
      <c r="AF593" s="466"/>
      <c r="AG593" s="467"/>
    </row>
    <row r="594" spans="1:33">
      <c r="A594" s="453" t="s">
        <v>477</v>
      </c>
      <c r="B594" s="355" t="s">
        <v>741</v>
      </c>
      <c r="C594" s="355"/>
      <c r="D594" s="361" t="s">
        <v>437</v>
      </c>
      <c r="E594" s="400">
        <v>14</v>
      </c>
      <c r="F594" s="464">
        <f t="shared" si="59"/>
        <v>0</v>
      </c>
      <c r="G594" s="465">
        <f t="shared" si="60"/>
        <v>0</v>
      </c>
      <c r="H594" s="466">
        <v>0</v>
      </c>
      <c r="I594" s="467"/>
      <c r="J594" s="466">
        <v>0</v>
      </c>
      <c r="K594" s="467"/>
      <c r="L594" s="466">
        <v>0</v>
      </c>
      <c r="M594" s="466">
        <v>0</v>
      </c>
      <c r="N594" s="466">
        <v>0</v>
      </c>
      <c r="O594" s="467"/>
      <c r="P594" s="467"/>
      <c r="Q594" s="467"/>
      <c r="R594" s="466">
        <v>0</v>
      </c>
      <c r="S594" s="467"/>
      <c r="T594" s="464">
        <f t="shared" si="57"/>
        <v>0</v>
      </c>
      <c r="U594" s="465">
        <f t="shared" si="61"/>
        <v>0</v>
      </c>
      <c r="V594" s="466"/>
      <c r="W594" s="467"/>
      <c r="X594" s="466"/>
      <c r="Y594" s="467"/>
      <c r="Z594" s="466"/>
      <c r="AA594" s="466"/>
      <c r="AB594" s="466"/>
      <c r="AC594" s="467"/>
      <c r="AD594" s="467"/>
      <c r="AE594" s="467"/>
      <c r="AF594" s="466"/>
      <c r="AG594" s="467"/>
    </row>
    <row r="595" spans="1:33">
      <c r="A595" s="453" t="s">
        <v>477</v>
      </c>
      <c r="B595" s="355" t="s">
        <v>742</v>
      </c>
      <c r="C595" s="355"/>
      <c r="D595" s="361" t="s">
        <v>437</v>
      </c>
      <c r="E595" s="400">
        <v>15</v>
      </c>
      <c r="F595" s="464">
        <f t="shared" si="59"/>
        <v>0</v>
      </c>
      <c r="G595" s="465">
        <f t="shared" si="60"/>
        <v>0</v>
      </c>
      <c r="H595" s="466">
        <v>0</v>
      </c>
      <c r="I595" s="467"/>
      <c r="J595" s="466">
        <v>0</v>
      </c>
      <c r="K595" s="467"/>
      <c r="L595" s="466">
        <v>0</v>
      </c>
      <c r="M595" s="466">
        <v>0</v>
      </c>
      <c r="N595" s="466">
        <v>0</v>
      </c>
      <c r="O595" s="467"/>
      <c r="P595" s="467"/>
      <c r="Q595" s="467"/>
      <c r="R595" s="466">
        <v>0</v>
      </c>
      <c r="S595" s="467"/>
      <c r="T595" s="464">
        <f t="shared" si="57"/>
        <v>0</v>
      </c>
      <c r="U595" s="465">
        <f t="shared" si="61"/>
        <v>0</v>
      </c>
      <c r="V595" s="466"/>
      <c r="W595" s="467"/>
      <c r="X595" s="466"/>
      <c r="Y595" s="467"/>
      <c r="Z595" s="466"/>
      <c r="AA595" s="466"/>
      <c r="AB595" s="466"/>
      <c r="AC595" s="467"/>
      <c r="AD595" s="467"/>
      <c r="AE595" s="467"/>
      <c r="AF595" s="466"/>
      <c r="AG595" s="467"/>
    </row>
    <row r="596" spans="1:33" customFormat="1" ht="12.65" customHeight="1">
      <c r="A596" s="453" t="s">
        <v>477</v>
      </c>
      <c r="B596" s="355" t="s">
        <v>512</v>
      </c>
      <c r="C596" s="355"/>
      <c r="D596" s="358">
        <v>486202</v>
      </c>
      <c r="E596" s="400">
        <v>15</v>
      </c>
      <c r="F596" s="464">
        <f t="shared" si="59"/>
        <v>0</v>
      </c>
      <c r="G596" s="465">
        <f t="shared" si="60"/>
        <v>0</v>
      </c>
      <c r="H596" s="466">
        <v>0</v>
      </c>
      <c r="I596" s="467"/>
      <c r="J596" s="466">
        <v>0</v>
      </c>
      <c r="K596" s="467"/>
      <c r="L596" s="466">
        <v>0</v>
      </c>
      <c r="M596" s="466">
        <v>0</v>
      </c>
      <c r="N596" s="466">
        <v>0</v>
      </c>
      <c r="O596" s="467"/>
      <c r="P596" s="467"/>
      <c r="Q596" s="467"/>
      <c r="R596" s="466">
        <v>0</v>
      </c>
      <c r="S596" s="467"/>
      <c r="T596" s="464">
        <f t="shared" si="57"/>
        <v>0</v>
      </c>
      <c r="U596" s="465">
        <f t="shared" si="61"/>
        <v>0</v>
      </c>
      <c r="V596" s="466"/>
      <c r="W596" s="467"/>
      <c r="X596" s="466"/>
      <c r="Y596" s="467"/>
      <c r="Z596" s="466"/>
      <c r="AA596" s="466"/>
      <c r="AB596" s="466"/>
      <c r="AC596" s="467"/>
      <c r="AD596" s="467"/>
      <c r="AE596" s="467"/>
      <c r="AF596" s="466"/>
      <c r="AG596" s="467"/>
    </row>
    <row r="597" spans="1:33" customFormat="1" ht="12.65" customHeight="1">
      <c r="A597" s="400" t="s">
        <v>477</v>
      </c>
      <c r="B597" s="355" t="s">
        <v>513</v>
      </c>
      <c r="C597" s="355"/>
      <c r="D597" s="358">
        <v>486406</v>
      </c>
      <c r="E597" s="400">
        <v>15</v>
      </c>
      <c r="F597" s="464">
        <f t="shared" si="59"/>
        <v>0</v>
      </c>
      <c r="G597" s="465">
        <f t="shared" si="60"/>
        <v>0</v>
      </c>
      <c r="H597" s="466">
        <v>0</v>
      </c>
      <c r="I597" s="467"/>
      <c r="J597" s="466">
        <v>0</v>
      </c>
      <c r="K597" s="467"/>
      <c r="L597" s="466">
        <v>0</v>
      </c>
      <c r="M597" s="466">
        <v>0</v>
      </c>
      <c r="N597" s="466">
        <v>0</v>
      </c>
      <c r="O597" s="467"/>
      <c r="P597" s="467"/>
      <c r="Q597" s="467"/>
      <c r="R597" s="466">
        <v>0</v>
      </c>
      <c r="S597" s="467"/>
      <c r="T597" s="464">
        <f t="shared" si="57"/>
        <v>0</v>
      </c>
      <c r="U597" s="465">
        <f t="shared" si="61"/>
        <v>0</v>
      </c>
      <c r="V597" s="466"/>
      <c r="W597" s="467"/>
      <c r="X597" s="466"/>
      <c r="Y597" s="467"/>
      <c r="Z597" s="466"/>
      <c r="AA597" s="466"/>
      <c r="AB597" s="466"/>
      <c r="AC597" s="467"/>
      <c r="AD597" s="467"/>
      <c r="AE597" s="467"/>
      <c r="AF597" s="466"/>
      <c r="AG597" s="467"/>
    </row>
    <row r="598" spans="1:33">
      <c r="A598" s="453" t="s">
        <v>477</v>
      </c>
      <c r="B598" s="355" t="s">
        <v>743</v>
      </c>
      <c r="C598" s="355"/>
      <c r="D598" s="361" t="s">
        <v>437</v>
      </c>
      <c r="E598" s="400">
        <v>15</v>
      </c>
      <c r="F598" s="464">
        <f t="shared" si="59"/>
        <v>0</v>
      </c>
      <c r="G598" s="465">
        <f t="shared" si="60"/>
        <v>0</v>
      </c>
      <c r="H598" s="466">
        <v>0</v>
      </c>
      <c r="I598" s="467"/>
      <c r="J598" s="466">
        <v>0</v>
      </c>
      <c r="K598" s="467"/>
      <c r="L598" s="466">
        <v>0</v>
      </c>
      <c r="M598" s="466">
        <v>0</v>
      </c>
      <c r="N598" s="466">
        <v>0</v>
      </c>
      <c r="O598" s="467"/>
      <c r="P598" s="467"/>
      <c r="Q598" s="467"/>
      <c r="R598" s="466">
        <v>0</v>
      </c>
      <c r="S598" s="467"/>
      <c r="T598" s="464">
        <f t="shared" si="57"/>
        <v>0</v>
      </c>
      <c r="U598" s="465">
        <f t="shared" si="61"/>
        <v>0</v>
      </c>
      <c r="V598" s="466"/>
      <c r="W598" s="467"/>
      <c r="X598" s="466"/>
      <c r="Y598" s="467"/>
      <c r="Z598" s="466"/>
      <c r="AA598" s="466"/>
      <c r="AB598" s="466"/>
      <c r="AC598" s="467"/>
      <c r="AD598" s="467"/>
      <c r="AE598" s="467"/>
      <c r="AF598" s="466"/>
      <c r="AG598" s="467"/>
    </row>
    <row r="599" spans="1:33" customFormat="1" ht="12.65" customHeight="1">
      <c r="A599" s="400" t="s">
        <v>477</v>
      </c>
      <c r="B599" s="355" t="s">
        <v>514</v>
      </c>
      <c r="C599" s="355"/>
      <c r="D599" s="358">
        <v>238096</v>
      </c>
      <c r="E599" s="400">
        <v>15</v>
      </c>
      <c r="F599" s="464">
        <f t="shared" si="59"/>
        <v>0</v>
      </c>
      <c r="G599" s="465">
        <f t="shared" si="60"/>
        <v>0</v>
      </c>
      <c r="H599" s="466">
        <v>0</v>
      </c>
      <c r="I599" s="467"/>
      <c r="J599" s="466">
        <v>0</v>
      </c>
      <c r="K599" s="467"/>
      <c r="L599" s="466">
        <v>0</v>
      </c>
      <c r="M599" s="466">
        <v>0</v>
      </c>
      <c r="N599" s="466">
        <v>0</v>
      </c>
      <c r="O599" s="467"/>
      <c r="P599" s="467"/>
      <c r="Q599" s="467"/>
      <c r="R599" s="466">
        <v>0</v>
      </c>
      <c r="S599" s="467"/>
      <c r="T599" s="464">
        <f t="shared" si="57"/>
        <v>0</v>
      </c>
      <c r="U599" s="465">
        <f t="shared" si="61"/>
        <v>0</v>
      </c>
      <c r="V599" s="466"/>
      <c r="W599" s="467"/>
      <c r="X599" s="466"/>
      <c r="Y599" s="467"/>
      <c r="Z599" s="466"/>
      <c r="AA599" s="466"/>
      <c r="AB599" s="466"/>
      <c r="AC599" s="467"/>
      <c r="AD599" s="467"/>
      <c r="AE599" s="467"/>
      <c r="AF599" s="466"/>
      <c r="AG599" s="467"/>
    </row>
    <row r="600" spans="1:33" customFormat="1" ht="15.5"/>
    <row r="601" spans="1:33" customFormat="1" ht="15.5"/>
    <row r="602" spans="1:33" customFormat="1" ht="15.5"/>
    <row r="603" spans="1:33" customFormat="1" ht="15.5"/>
    <row r="604" spans="1:33" customFormat="1" ht="15.5"/>
    <row r="605" spans="1:33" customFormat="1" ht="15.5"/>
    <row r="606" spans="1:33" customFormat="1" ht="15.5"/>
    <row r="607" spans="1:33" customFormat="1" ht="15.5"/>
    <row r="608" spans="1:33" customFormat="1" ht="15.5"/>
    <row r="609" spans="1:31" customFormat="1" ht="15.5"/>
    <row r="610" spans="1:31" customFormat="1" ht="15.5"/>
    <row r="611" spans="1:31" ht="12.5">
      <c r="A611" s="38"/>
      <c r="B611" s="38"/>
      <c r="C611" s="38"/>
      <c r="D611" s="38"/>
      <c r="E611" s="38"/>
      <c r="G611" s="38"/>
      <c r="I611" s="38"/>
      <c r="M611" s="38"/>
      <c r="N611" s="38"/>
      <c r="O611" s="38"/>
      <c r="Q611" s="38"/>
      <c r="S611" s="38"/>
      <c r="U611" s="38"/>
      <c r="W611" s="38"/>
      <c r="AA611" s="38"/>
      <c r="AB611" s="38"/>
      <c r="AC611" s="38"/>
      <c r="AE611" s="38"/>
    </row>
    <row r="612" spans="1:31" ht="12.5">
      <c r="A612" s="38"/>
      <c r="B612" s="38"/>
      <c r="C612" s="38"/>
      <c r="D612" s="38"/>
      <c r="E612" s="38"/>
      <c r="G612" s="38"/>
      <c r="I612" s="38"/>
      <c r="M612" s="38"/>
      <c r="N612" s="38"/>
      <c r="O612" s="38"/>
      <c r="Q612" s="38"/>
      <c r="S612" s="38"/>
      <c r="U612" s="38"/>
      <c r="W612" s="38"/>
      <c r="AA612" s="38"/>
      <c r="AB612" s="38"/>
      <c r="AC612" s="38"/>
      <c r="AE612" s="38"/>
    </row>
    <row r="613" spans="1:31" ht="12.5">
      <c r="A613" s="38"/>
      <c r="B613" s="38"/>
      <c r="C613" s="38"/>
      <c r="D613" s="38"/>
      <c r="E613" s="38"/>
      <c r="G613" s="38"/>
      <c r="I613" s="38"/>
      <c r="M613" s="38"/>
      <c r="N613" s="38"/>
      <c r="O613" s="38"/>
      <c r="Q613" s="38"/>
      <c r="S613" s="38"/>
      <c r="U613" s="38"/>
      <c r="W613" s="38"/>
      <c r="AA613" s="38"/>
      <c r="AB613" s="38"/>
      <c r="AC613" s="38"/>
      <c r="AE613" s="38"/>
    </row>
    <row r="614" spans="1:31" ht="12.5">
      <c r="A614" s="38"/>
      <c r="B614" s="38"/>
      <c r="C614" s="38"/>
      <c r="D614" s="38"/>
      <c r="E614" s="38"/>
      <c r="G614" s="38"/>
      <c r="I614" s="38"/>
      <c r="M614" s="38"/>
      <c r="N614" s="38"/>
      <c r="O614" s="38"/>
      <c r="Q614" s="38"/>
      <c r="S614" s="38"/>
      <c r="U614" s="38"/>
      <c r="W614" s="38"/>
      <c r="AA614" s="38"/>
      <c r="AB614" s="38"/>
      <c r="AC614" s="38"/>
      <c r="AE614" s="38"/>
    </row>
    <row r="615" spans="1:31" ht="12.5">
      <c r="A615" s="38"/>
      <c r="B615" s="38"/>
      <c r="C615" s="38"/>
      <c r="D615" s="38"/>
      <c r="E615" s="38"/>
      <c r="G615" s="38"/>
      <c r="I615" s="38"/>
      <c r="M615" s="38"/>
      <c r="N615" s="38"/>
      <c r="O615" s="38"/>
      <c r="Q615" s="38"/>
      <c r="S615" s="38"/>
      <c r="U615" s="38"/>
      <c r="W615" s="38"/>
      <c r="AA615" s="38"/>
      <c r="AB615" s="38"/>
      <c r="AC615" s="38"/>
      <c r="AE615" s="38"/>
    </row>
    <row r="616" spans="1:31" ht="12.5">
      <c r="A616" s="38"/>
      <c r="B616" s="38"/>
      <c r="C616" s="38"/>
      <c r="D616" s="38"/>
      <c r="E616" s="38"/>
      <c r="G616" s="38"/>
      <c r="I616" s="38"/>
      <c r="M616" s="38"/>
      <c r="N616" s="38"/>
      <c r="O616" s="38"/>
      <c r="Q616" s="38"/>
      <c r="S616" s="38"/>
      <c r="U616" s="38"/>
      <c r="W616" s="38"/>
      <c r="AA616" s="38"/>
      <c r="AB616" s="38"/>
      <c r="AC616" s="38"/>
      <c r="AE616" s="38"/>
    </row>
    <row r="617" spans="1:31" ht="12.5">
      <c r="A617" s="38"/>
      <c r="B617" s="38"/>
      <c r="C617" s="38"/>
      <c r="D617" s="38"/>
      <c r="E617" s="38"/>
      <c r="G617" s="38"/>
      <c r="I617" s="38"/>
      <c r="M617" s="38"/>
      <c r="N617" s="38"/>
      <c r="O617" s="38"/>
      <c r="Q617" s="38"/>
      <c r="S617" s="38"/>
      <c r="U617" s="38"/>
      <c r="W617" s="38"/>
      <c r="AA617" s="38"/>
      <c r="AB617" s="38"/>
      <c r="AC617" s="38"/>
      <c r="AE617" s="38"/>
    </row>
    <row r="618" spans="1:31" ht="12.5">
      <c r="A618" s="38"/>
      <c r="B618" s="38"/>
      <c r="C618" s="38"/>
      <c r="D618" s="38"/>
      <c r="E618" s="38"/>
      <c r="G618" s="38"/>
      <c r="I618" s="38"/>
      <c r="M618" s="38"/>
      <c r="N618" s="38"/>
      <c r="O618" s="38"/>
      <c r="Q618" s="38"/>
      <c r="S618" s="38"/>
      <c r="U618" s="38"/>
      <c r="W618" s="38"/>
      <c r="AA618" s="38"/>
      <c r="AB618" s="38"/>
      <c r="AC618" s="38"/>
      <c r="AE618" s="38"/>
    </row>
    <row r="619" spans="1:31" ht="12.5">
      <c r="A619" s="38"/>
      <c r="B619" s="38"/>
      <c r="C619" s="38"/>
      <c r="D619" s="38"/>
      <c r="E619" s="38"/>
      <c r="G619" s="38"/>
      <c r="I619" s="38"/>
      <c r="M619" s="38"/>
      <c r="N619" s="38"/>
      <c r="O619" s="38"/>
      <c r="Q619" s="38"/>
      <c r="S619" s="38"/>
      <c r="U619" s="38"/>
      <c r="W619" s="38"/>
      <c r="AA619" s="38"/>
      <c r="AB619" s="38"/>
      <c r="AC619" s="38"/>
      <c r="AE619" s="38"/>
    </row>
    <row r="620" spans="1:31" ht="12.5">
      <c r="A620" s="38"/>
      <c r="B620" s="38"/>
      <c r="C620" s="38"/>
      <c r="D620" s="38"/>
      <c r="E620" s="38"/>
      <c r="G620" s="38"/>
      <c r="I620" s="38"/>
      <c r="M620" s="38"/>
      <c r="N620" s="38"/>
      <c r="O620" s="38"/>
      <c r="Q620" s="38"/>
      <c r="S620" s="38"/>
      <c r="U620" s="38"/>
      <c r="W620" s="38"/>
      <c r="AA620" s="38"/>
      <c r="AB620" s="38"/>
      <c r="AC620" s="38"/>
      <c r="AE620" s="38"/>
    </row>
    <row r="621" spans="1:31" ht="12.5">
      <c r="A621" s="38"/>
      <c r="B621" s="38"/>
      <c r="C621" s="38"/>
      <c r="D621" s="38"/>
      <c r="E621" s="38"/>
      <c r="G621" s="38"/>
      <c r="I621" s="38"/>
      <c r="M621" s="38"/>
      <c r="N621" s="38"/>
      <c r="O621" s="38"/>
      <c r="Q621" s="38"/>
      <c r="S621" s="38"/>
      <c r="U621" s="38"/>
      <c r="W621" s="38"/>
      <c r="AA621" s="38"/>
      <c r="AB621" s="38"/>
      <c r="AC621" s="38"/>
      <c r="AE621" s="38"/>
    </row>
    <row r="622" spans="1:31" ht="12.5">
      <c r="A622" s="38"/>
      <c r="B622" s="38"/>
      <c r="C622" s="38"/>
      <c r="D622" s="38"/>
      <c r="E622" s="38"/>
      <c r="G622" s="38"/>
      <c r="I622" s="38"/>
      <c r="M622" s="38"/>
      <c r="N622" s="38"/>
      <c r="O622" s="38"/>
      <c r="Q622" s="38"/>
      <c r="S622" s="38"/>
      <c r="U622" s="38"/>
      <c r="W622" s="38"/>
      <c r="AA622" s="38"/>
      <c r="AB622" s="38"/>
      <c r="AC622" s="38"/>
      <c r="AE622" s="38"/>
    </row>
    <row r="623" spans="1:31" ht="12.5">
      <c r="A623" s="38"/>
      <c r="B623" s="38"/>
      <c r="C623" s="38"/>
      <c r="D623" s="38"/>
      <c r="E623" s="38"/>
      <c r="G623" s="38"/>
      <c r="I623" s="38"/>
      <c r="M623" s="38"/>
      <c r="N623" s="38"/>
      <c r="O623" s="38"/>
      <c r="Q623" s="38"/>
      <c r="S623" s="38"/>
      <c r="U623" s="38"/>
      <c r="W623" s="38"/>
      <c r="AA623" s="38"/>
      <c r="AB623" s="38"/>
      <c r="AC623" s="38"/>
      <c r="AE623" s="38"/>
    </row>
    <row r="624" spans="1:31" ht="12.5">
      <c r="A624" s="38"/>
      <c r="B624" s="38"/>
      <c r="C624" s="38"/>
      <c r="D624" s="38"/>
      <c r="E624" s="38"/>
      <c r="G624" s="38"/>
      <c r="I624" s="38"/>
      <c r="M624" s="38"/>
      <c r="N624" s="38"/>
      <c r="O624" s="38"/>
      <c r="Q624" s="38"/>
      <c r="S624" s="38"/>
      <c r="U624" s="38"/>
      <c r="W624" s="38"/>
      <c r="AA624" s="38"/>
      <c r="AB624" s="38"/>
      <c r="AC624" s="38"/>
      <c r="AE624" s="38"/>
    </row>
    <row r="625" spans="1:31" ht="12.5">
      <c r="A625" s="38"/>
      <c r="B625" s="38"/>
      <c r="C625" s="38"/>
      <c r="D625" s="38"/>
      <c r="E625" s="38"/>
      <c r="G625" s="38"/>
      <c r="I625" s="38"/>
      <c r="M625" s="38"/>
      <c r="N625" s="38"/>
      <c r="O625" s="38"/>
      <c r="Q625" s="38"/>
      <c r="S625" s="38"/>
      <c r="U625" s="38"/>
      <c r="W625" s="38"/>
      <c r="AA625" s="38"/>
      <c r="AB625" s="38"/>
      <c r="AC625" s="38"/>
      <c r="AE625" s="38"/>
    </row>
    <row r="626" spans="1:31" ht="12.5">
      <c r="A626" s="38"/>
      <c r="B626" s="38"/>
      <c r="C626" s="38"/>
      <c r="D626" s="38"/>
      <c r="E626" s="38"/>
      <c r="G626" s="38"/>
      <c r="I626" s="38"/>
      <c r="M626" s="38"/>
      <c r="N626" s="38"/>
      <c r="O626" s="38"/>
      <c r="Q626" s="38"/>
      <c r="S626" s="38"/>
      <c r="U626" s="38"/>
      <c r="W626" s="38"/>
      <c r="AA626" s="38"/>
      <c r="AB626" s="38"/>
      <c r="AC626" s="38"/>
      <c r="AE626" s="38"/>
    </row>
    <row r="627" spans="1:31" ht="12.5">
      <c r="A627" s="38"/>
      <c r="B627" s="38"/>
      <c r="C627" s="38"/>
      <c r="D627" s="38"/>
      <c r="E627" s="38"/>
      <c r="G627" s="38"/>
      <c r="I627" s="38"/>
      <c r="M627" s="38"/>
      <c r="N627" s="38"/>
      <c r="O627" s="38"/>
      <c r="Q627" s="38"/>
      <c r="S627" s="38"/>
      <c r="U627" s="38"/>
      <c r="W627" s="38"/>
      <c r="AA627" s="38"/>
      <c r="AB627" s="38"/>
      <c r="AC627" s="38"/>
      <c r="AE627" s="38"/>
    </row>
  </sheetData>
  <sheetProtection insertRows="0" deleteRows="0"/>
  <sortState xmlns:xlrd2="http://schemas.microsoft.com/office/spreadsheetml/2017/richdata2" ref="A7:AG9">
    <sortCondition ref="A7:A9"/>
    <sortCondition ref="E7:E9"/>
    <sortCondition ref="B7:B9"/>
  </sortState>
  <mergeCells count="1">
    <mergeCell ref="H4:I4"/>
  </mergeCells>
  <conditionalFormatting sqref="F326">
    <cfRule type="expression" dxfId="10" priority="12">
      <formula>MOD(F326,1)&gt;0</formula>
    </cfRule>
  </conditionalFormatting>
  <conditionalFormatting sqref="I326">
    <cfRule type="cellIs" dxfId="9" priority="9" operator="lessThan">
      <formula>0</formula>
    </cfRule>
    <cfRule type="cellIs" dxfId="8" priority="10" operator="greaterThan">
      <formula>0</formula>
    </cfRule>
  </conditionalFormatting>
  <conditionalFormatting sqref="O326:Q326">
    <cfRule type="cellIs" dxfId="7" priority="7" operator="lessThan">
      <formula>0</formula>
    </cfRule>
    <cfRule type="cellIs" dxfId="6" priority="8" operator="greaterThan">
      <formula>0</formula>
    </cfRule>
  </conditionalFormatting>
  <conditionalFormatting sqref="T326">
    <cfRule type="expression" priority="11">
      <formula>MOD(T326,1)&gt;0</formula>
    </cfRule>
  </conditionalFormatting>
  <conditionalFormatting sqref="W326">
    <cfRule type="cellIs" dxfId="5" priority="5" operator="lessThan">
      <formula>0</formula>
    </cfRule>
    <cfRule type="cellIs" dxfId="4" priority="6" operator="greaterThan">
      <formula>0</formula>
    </cfRule>
  </conditionalFormatting>
  <conditionalFormatting sqref="Y326">
    <cfRule type="cellIs" dxfId="3" priority="3" operator="lessThan">
      <formula>0</formula>
    </cfRule>
    <cfRule type="cellIs" dxfId="2" priority="4" operator="greaterThan">
      <formula>0</formula>
    </cfRule>
  </conditionalFormatting>
  <conditionalFormatting sqref="AC326:AE326">
    <cfRule type="cellIs" dxfId="1" priority="1" operator="lessThan">
      <formula>0</formula>
    </cfRule>
    <cfRule type="cellIs" dxfId="0" priority="2" operator="greaterThan">
      <formula>0</formula>
    </cfRule>
  </conditionalFormatting>
  <pageMargins left="0.7" right="0.7" top="0.75" bottom="0.75" header="0.3" footer="0.3"/>
  <pageSetup orientation="portrait"/>
  <legacyDrawing r:id="rId1"/>
  <extLst>
    <x:ext xmlns:x="http://schemas.openxmlformats.org/spreadsheetml/2006/main" xmlns:mx="http://schemas.microsoft.com/office/mac/excel/2008/main" uri="{64002731-A6B0-56B0-2670-7721B7C09600}">
      <mx:PLV Mode="0" OnePage="0" WScale="0"/>
    </x: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72FC-4D63-4F74-B043-5BB905F51D78}">
  <dimension ref="A1:E592"/>
  <sheetViews>
    <sheetView workbookViewId="0">
      <selection sqref="A1:E592"/>
    </sheetView>
  </sheetViews>
  <sheetFormatPr defaultRowHeight="15.5"/>
  <sheetData>
    <row r="1" spans="1:5">
      <c r="A1" s="407" t="s">
        <v>50</v>
      </c>
      <c r="B1" s="408" t="s">
        <v>51</v>
      </c>
      <c r="C1" s="1"/>
      <c r="D1" s="409">
        <v>100858</v>
      </c>
      <c r="E1" s="409">
        <v>1</v>
      </c>
    </row>
    <row r="2" spans="1:5">
      <c r="A2" s="407" t="s">
        <v>50</v>
      </c>
      <c r="B2" s="408" t="s">
        <v>52</v>
      </c>
      <c r="C2" s="1"/>
      <c r="D2" s="409">
        <v>100751</v>
      </c>
      <c r="E2" s="409">
        <v>1</v>
      </c>
    </row>
    <row r="3" spans="1:5">
      <c r="A3" s="407" t="s">
        <v>50</v>
      </c>
      <c r="B3" s="408" t="s">
        <v>53</v>
      </c>
      <c r="C3" s="410"/>
      <c r="D3" s="409">
        <v>100663</v>
      </c>
      <c r="E3" s="409">
        <v>1</v>
      </c>
    </row>
    <row r="4" spans="1:5">
      <c r="A4" s="407" t="s">
        <v>50</v>
      </c>
      <c r="B4" s="408" t="s">
        <v>54</v>
      </c>
      <c r="C4" s="411" t="s">
        <v>715</v>
      </c>
      <c r="D4" s="409">
        <v>100706</v>
      </c>
      <c r="E4" s="409">
        <v>2</v>
      </c>
    </row>
    <row r="5" spans="1:5">
      <c r="A5" s="407" t="s">
        <v>50</v>
      </c>
      <c r="B5" s="408" t="s">
        <v>58</v>
      </c>
      <c r="C5" s="412"/>
      <c r="D5" s="409">
        <v>102094</v>
      </c>
      <c r="E5" s="409">
        <v>2</v>
      </c>
    </row>
    <row r="6" spans="1:5">
      <c r="A6" s="407" t="s">
        <v>50</v>
      </c>
      <c r="B6" s="408" t="s">
        <v>55</v>
      </c>
      <c r="C6" s="1"/>
      <c r="D6" s="409">
        <v>100654</v>
      </c>
      <c r="E6" s="409">
        <v>3</v>
      </c>
    </row>
    <row r="7" spans="1:5">
      <c r="A7" s="407" t="s">
        <v>50</v>
      </c>
      <c r="B7" s="408" t="s">
        <v>56</v>
      </c>
      <c r="C7" s="1"/>
      <c r="D7" s="409">
        <v>101480</v>
      </c>
      <c r="E7" s="409">
        <v>3</v>
      </c>
    </row>
    <row r="8" spans="1:5">
      <c r="A8" s="407" t="s">
        <v>50</v>
      </c>
      <c r="B8" s="408" t="s">
        <v>57</v>
      </c>
      <c r="C8" s="1"/>
      <c r="D8" s="409">
        <v>102368</v>
      </c>
      <c r="E8" s="409">
        <v>3</v>
      </c>
    </row>
    <row r="9" spans="1:5">
      <c r="A9" s="407" t="s">
        <v>50</v>
      </c>
      <c r="B9" s="408" t="s">
        <v>61</v>
      </c>
      <c r="C9" s="410"/>
      <c r="D9" s="409">
        <v>101879</v>
      </c>
      <c r="E9" s="409">
        <v>3</v>
      </c>
    </row>
    <row r="10" spans="1:5">
      <c r="A10" s="407" t="s">
        <v>50</v>
      </c>
      <c r="B10" s="408" t="s">
        <v>59</v>
      </c>
      <c r="C10" s="1"/>
      <c r="D10" s="409">
        <v>100724</v>
      </c>
      <c r="E10" s="409">
        <v>4</v>
      </c>
    </row>
    <row r="11" spans="1:5">
      <c r="A11" s="407" t="s">
        <v>50</v>
      </c>
      <c r="B11" s="408" t="s">
        <v>60</v>
      </c>
      <c r="C11" s="410" t="s">
        <v>898</v>
      </c>
      <c r="D11" s="413">
        <v>100830</v>
      </c>
      <c r="E11" s="413">
        <v>3</v>
      </c>
    </row>
    <row r="12" spans="1:5">
      <c r="A12" s="407" t="s">
        <v>50</v>
      </c>
      <c r="B12" s="408" t="s">
        <v>62</v>
      </c>
      <c r="C12" s="1"/>
      <c r="D12" s="409">
        <v>101709</v>
      </c>
      <c r="E12" s="409">
        <v>5</v>
      </c>
    </row>
    <row r="13" spans="1:5">
      <c r="A13" s="407" t="s">
        <v>50</v>
      </c>
      <c r="B13" s="408" t="s">
        <v>63</v>
      </c>
      <c r="C13" s="414" t="s">
        <v>899</v>
      </c>
      <c r="D13" s="409">
        <v>101587</v>
      </c>
      <c r="E13" s="415">
        <v>4</v>
      </c>
    </row>
    <row r="14" spans="1:5">
      <c r="A14" s="407" t="s">
        <v>50</v>
      </c>
      <c r="B14" s="408" t="s">
        <v>64</v>
      </c>
      <c r="C14" s="411" t="s">
        <v>908</v>
      </c>
      <c r="D14" s="416">
        <v>100812</v>
      </c>
      <c r="E14" s="409">
        <v>6</v>
      </c>
    </row>
    <row r="15" spans="1:5">
      <c r="A15" s="407" t="s">
        <v>50</v>
      </c>
      <c r="B15" s="417" t="s">
        <v>65</v>
      </c>
      <c r="C15" s="1"/>
      <c r="D15" s="409">
        <v>101505</v>
      </c>
      <c r="E15" s="409">
        <v>8</v>
      </c>
    </row>
    <row r="16" spans="1:5">
      <c r="A16" s="407" t="s">
        <v>50</v>
      </c>
      <c r="B16" s="417" t="s">
        <v>701</v>
      </c>
      <c r="C16" s="1"/>
      <c r="D16" s="409">
        <v>101514</v>
      </c>
      <c r="E16" s="409">
        <v>8</v>
      </c>
    </row>
    <row r="17" spans="1:5">
      <c r="A17" s="407" t="s">
        <v>50</v>
      </c>
      <c r="B17" s="408" t="s">
        <v>66</v>
      </c>
      <c r="C17" s="411" t="s">
        <v>909</v>
      </c>
      <c r="D17" s="409">
        <v>102429</v>
      </c>
      <c r="E17" s="409">
        <v>9</v>
      </c>
    </row>
    <row r="18" spans="1:5">
      <c r="A18" s="407" t="s">
        <v>50</v>
      </c>
      <c r="B18" s="419" t="s">
        <v>67</v>
      </c>
      <c r="C18" s="418"/>
      <c r="D18" s="409">
        <v>102030</v>
      </c>
      <c r="E18" s="409">
        <v>9</v>
      </c>
    </row>
    <row r="19" spans="1:5">
      <c r="A19" s="407" t="s">
        <v>50</v>
      </c>
      <c r="B19" s="419" t="s">
        <v>717</v>
      </c>
      <c r="C19" s="414" t="s">
        <v>900</v>
      </c>
      <c r="D19" s="407">
        <v>101161</v>
      </c>
      <c r="E19" s="415">
        <v>8</v>
      </c>
    </row>
    <row r="20" spans="1:5">
      <c r="A20" s="407" t="s">
        <v>50</v>
      </c>
      <c r="B20" s="408" t="s">
        <v>68</v>
      </c>
      <c r="C20" s="418"/>
      <c r="D20" s="409">
        <v>101240</v>
      </c>
      <c r="E20" s="409">
        <v>9</v>
      </c>
    </row>
    <row r="21" spans="1:5">
      <c r="A21" s="407" t="s">
        <v>50</v>
      </c>
      <c r="B21" s="417" t="s">
        <v>702</v>
      </c>
      <c r="C21" s="1"/>
      <c r="D21" s="409">
        <v>101286</v>
      </c>
      <c r="E21" s="409">
        <v>9</v>
      </c>
    </row>
    <row r="22" spans="1:5">
      <c r="A22" s="407" t="s">
        <v>50</v>
      </c>
      <c r="B22" s="417" t="s">
        <v>703</v>
      </c>
      <c r="C22" s="410"/>
      <c r="D22" s="409">
        <v>101295</v>
      </c>
      <c r="E22" s="409">
        <v>9</v>
      </c>
    </row>
    <row r="23" spans="1:5">
      <c r="A23" s="407" t="s">
        <v>50</v>
      </c>
      <c r="B23" s="408" t="s">
        <v>69</v>
      </c>
      <c r="C23" s="1"/>
      <c r="D23" s="409">
        <v>101569</v>
      </c>
      <c r="E23" s="409">
        <v>9</v>
      </c>
    </row>
    <row r="24" spans="1:5">
      <c r="A24" s="407" t="s">
        <v>50</v>
      </c>
      <c r="B24" s="408" t="s">
        <v>70</v>
      </c>
      <c r="C24" s="1"/>
      <c r="D24" s="409">
        <v>101736</v>
      </c>
      <c r="E24" s="409">
        <v>9</v>
      </c>
    </row>
    <row r="25" spans="1:5">
      <c r="A25" s="407" t="s">
        <v>50</v>
      </c>
      <c r="B25" s="408" t="s">
        <v>71</v>
      </c>
      <c r="C25" s="1"/>
      <c r="D25" s="409">
        <v>102067</v>
      </c>
      <c r="E25" s="409">
        <v>9</v>
      </c>
    </row>
    <row r="26" spans="1:5">
      <c r="A26" s="407" t="s">
        <v>50</v>
      </c>
      <c r="B26" s="408" t="s">
        <v>72</v>
      </c>
      <c r="C26" s="1"/>
      <c r="D26" s="409">
        <v>251260</v>
      </c>
      <c r="E26" s="409">
        <v>9</v>
      </c>
    </row>
    <row r="27" spans="1:5">
      <c r="A27" s="407" t="s">
        <v>50</v>
      </c>
      <c r="B27" s="408" t="s">
        <v>73</v>
      </c>
      <c r="C27" s="418"/>
      <c r="D27" s="409">
        <v>100760</v>
      </c>
      <c r="E27" s="409">
        <v>10</v>
      </c>
    </row>
    <row r="28" spans="1:5">
      <c r="A28" s="407" t="s">
        <v>50</v>
      </c>
      <c r="B28" s="417" t="s">
        <v>704</v>
      </c>
      <c r="C28" s="1"/>
      <c r="D28" s="409">
        <v>101028</v>
      </c>
      <c r="E28" s="409">
        <v>10</v>
      </c>
    </row>
    <row r="29" spans="1:5">
      <c r="A29" s="407" t="s">
        <v>50</v>
      </c>
      <c r="B29" s="420" t="s">
        <v>705</v>
      </c>
      <c r="C29" s="410"/>
      <c r="D29" s="409">
        <v>101143</v>
      </c>
      <c r="E29" s="409">
        <v>10</v>
      </c>
    </row>
    <row r="30" spans="1:5">
      <c r="A30" s="407" t="s">
        <v>50</v>
      </c>
      <c r="B30" s="408" t="s">
        <v>74</v>
      </c>
      <c r="C30" s="1"/>
      <c r="D30" s="409">
        <v>101301</v>
      </c>
      <c r="E30" s="409">
        <v>10</v>
      </c>
    </row>
    <row r="31" spans="1:5">
      <c r="A31" s="407" t="s">
        <v>50</v>
      </c>
      <c r="B31" s="408" t="s">
        <v>75</v>
      </c>
      <c r="C31" s="1"/>
      <c r="D31" s="409">
        <v>101602</v>
      </c>
      <c r="E31" s="409">
        <v>10</v>
      </c>
    </row>
    <row r="32" spans="1:5">
      <c r="A32" s="407" t="s">
        <v>50</v>
      </c>
      <c r="B32" s="421" t="s">
        <v>706</v>
      </c>
      <c r="C32" s="337" t="s">
        <v>718</v>
      </c>
      <c r="D32" s="409">
        <v>101897</v>
      </c>
      <c r="E32" s="409">
        <v>10</v>
      </c>
    </row>
    <row r="33" spans="1:5">
      <c r="A33" s="407" t="s">
        <v>50</v>
      </c>
      <c r="B33" s="408" t="s">
        <v>76</v>
      </c>
      <c r="C33" s="337" t="s">
        <v>718</v>
      </c>
      <c r="D33" s="409">
        <v>102076</v>
      </c>
      <c r="E33" s="409">
        <v>10</v>
      </c>
    </row>
    <row r="34" spans="1:5">
      <c r="A34" s="407" t="s">
        <v>50</v>
      </c>
      <c r="B34" s="417" t="s">
        <v>707</v>
      </c>
      <c r="C34" s="418"/>
      <c r="D34" s="409">
        <v>102313</v>
      </c>
      <c r="E34" s="409">
        <v>12</v>
      </c>
    </row>
    <row r="35" spans="1:5">
      <c r="A35" s="407" t="s">
        <v>50</v>
      </c>
      <c r="B35" s="417" t="s">
        <v>708</v>
      </c>
      <c r="C35" s="1"/>
      <c r="D35" s="409">
        <v>101462</v>
      </c>
      <c r="E35" s="409">
        <v>13</v>
      </c>
    </row>
    <row r="36" spans="1:5">
      <c r="A36" s="407" t="s">
        <v>50</v>
      </c>
      <c r="B36" s="408" t="s">
        <v>77</v>
      </c>
      <c r="C36" s="1"/>
      <c r="D36" s="409">
        <v>101471</v>
      </c>
      <c r="E36" s="409">
        <v>13</v>
      </c>
    </row>
    <row r="37" spans="1:5">
      <c r="A37" s="407" t="s">
        <v>50</v>
      </c>
      <c r="B37" s="408" t="s">
        <v>78</v>
      </c>
      <c r="C37" s="1"/>
      <c r="D37" s="409">
        <v>101994</v>
      </c>
      <c r="E37" s="409">
        <v>13</v>
      </c>
    </row>
    <row r="38" spans="1:5">
      <c r="A38" s="407" t="s">
        <v>50</v>
      </c>
      <c r="B38" s="408" t="s">
        <v>79</v>
      </c>
      <c r="C38" s="1"/>
      <c r="D38" s="409">
        <v>101648</v>
      </c>
      <c r="E38" s="409">
        <v>15</v>
      </c>
    </row>
    <row r="39" spans="1:5">
      <c r="A39" s="422" t="s">
        <v>80</v>
      </c>
      <c r="B39" s="341" t="s">
        <v>83</v>
      </c>
      <c r="C39" s="342"/>
      <c r="D39" s="343">
        <v>106458</v>
      </c>
      <c r="E39" s="343">
        <v>3</v>
      </c>
    </row>
    <row r="40" spans="1:5">
      <c r="A40" s="422" t="s">
        <v>80</v>
      </c>
      <c r="B40" s="341" t="s">
        <v>84</v>
      </c>
      <c r="C40" s="344"/>
      <c r="D40" s="343">
        <v>106467</v>
      </c>
      <c r="E40" s="343">
        <v>3</v>
      </c>
    </row>
    <row r="41" spans="1:5">
      <c r="A41" s="422" t="s">
        <v>80</v>
      </c>
      <c r="B41" s="341" t="s">
        <v>86</v>
      </c>
      <c r="C41" s="342"/>
      <c r="D41" s="343">
        <v>107071</v>
      </c>
      <c r="E41" s="343">
        <v>4</v>
      </c>
    </row>
    <row r="42" spans="1:5">
      <c r="A42" s="422" t="s">
        <v>80</v>
      </c>
      <c r="B42" s="341" t="s">
        <v>87</v>
      </c>
      <c r="C42" s="344"/>
      <c r="D42" s="343">
        <v>107983</v>
      </c>
      <c r="E42" s="343">
        <v>4</v>
      </c>
    </row>
    <row r="43" spans="1:5">
      <c r="A43" s="422" t="s">
        <v>80</v>
      </c>
      <c r="B43" s="341" t="s">
        <v>81</v>
      </c>
      <c r="C43" s="342"/>
      <c r="D43" s="343">
        <v>106397</v>
      </c>
      <c r="E43" s="343">
        <v>1</v>
      </c>
    </row>
    <row r="44" spans="1:5">
      <c r="A44" s="422" t="s">
        <v>80</v>
      </c>
      <c r="B44" s="341" t="s">
        <v>89</v>
      </c>
      <c r="C44" s="342"/>
      <c r="D44" s="343">
        <v>108092</v>
      </c>
      <c r="E44" s="343">
        <v>6</v>
      </c>
    </row>
    <row r="45" spans="1:5">
      <c r="A45" s="422" t="s">
        <v>80</v>
      </c>
      <c r="B45" s="341" t="s">
        <v>82</v>
      </c>
      <c r="C45" s="342"/>
      <c r="D45" s="343">
        <v>106245</v>
      </c>
      <c r="E45" s="343">
        <v>2</v>
      </c>
    </row>
    <row r="46" spans="1:5">
      <c r="A46" s="422" t="s">
        <v>80</v>
      </c>
      <c r="B46" s="341" t="s">
        <v>88</v>
      </c>
      <c r="C46" s="342"/>
      <c r="D46" s="343">
        <v>106485</v>
      </c>
      <c r="E46" s="343">
        <v>4</v>
      </c>
    </row>
    <row r="47" spans="1:5">
      <c r="A47" s="422" t="s">
        <v>80</v>
      </c>
      <c r="B47" s="341" t="s">
        <v>109</v>
      </c>
      <c r="C47" s="342"/>
      <c r="D47" s="343">
        <v>106263</v>
      </c>
      <c r="E47" s="343">
        <v>15</v>
      </c>
    </row>
    <row r="48" spans="1:5">
      <c r="A48" s="422" t="s">
        <v>80</v>
      </c>
      <c r="B48" s="341" t="s">
        <v>90</v>
      </c>
      <c r="C48" s="454" t="s">
        <v>911</v>
      </c>
      <c r="D48" s="343">
        <v>106412</v>
      </c>
      <c r="E48" s="343">
        <v>6</v>
      </c>
    </row>
    <row r="49" spans="1:5">
      <c r="A49" s="422" t="s">
        <v>80</v>
      </c>
      <c r="B49" s="341" t="s">
        <v>85</v>
      </c>
      <c r="C49" s="342"/>
      <c r="D49" s="343">
        <v>106704</v>
      </c>
      <c r="E49" s="343">
        <v>3</v>
      </c>
    </row>
    <row r="50" spans="1:5">
      <c r="A50" s="422" t="s">
        <v>80</v>
      </c>
      <c r="B50" s="341" t="s">
        <v>94</v>
      </c>
      <c r="C50" s="342"/>
      <c r="D50" s="343">
        <v>107327</v>
      </c>
      <c r="E50" s="343">
        <v>10</v>
      </c>
    </row>
    <row r="51" spans="1:5">
      <c r="A51" s="422" t="s">
        <v>80</v>
      </c>
      <c r="B51" s="341" t="s">
        <v>92</v>
      </c>
      <c r="C51" s="342"/>
      <c r="D51" s="343">
        <v>106449</v>
      </c>
      <c r="E51" s="343">
        <v>9</v>
      </c>
    </row>
    <row r="52" spans="1:5">
      <c r="A52" s="422" t="s">
        <v>80</v>
      </c>
      <c r="B52" s="341" t="s">
        <v>96</v>
      </c>
      <c r="C52" s="342"/>
      <c r="D52" s="343">
        <v>420538</v>
      </c>
      <c r="E52" s="343">
        <v>10</v>
      </c>
    </row>
    <row r="53" spans="1:5">
      <c r="A53" s="422" t="s">
        <v>80</v>
      </c>
      <c r="B53" s="345" t="s">
        <v>95</v>
      </c>
      <c r="C53" s="342"/>
      <c r="D53" s="343">
        <v>107318</v>
      </c>
      <c r="E53" s="343">
        <v>10</v>
      </c>
    </row>
    <row r="54" spans="1:5">
      <c r="A54" s="422" t="s">
        <v>80</v>
      </c>
      <c r="B54" s="341" t="s">
        <v>97</v>
      </c>
      <c r="C54" s="342"/>
      <c r="D54" s="343">
        <v>440402</v>
      </c>
      <c r="E54" s="343">
        <v>10</v>
      </c>
    </row>
    <row r="55" spans="1:5">
      <c r="A55" s="422" t="s">
        <v>80</v>
      </c>
      <c r="B55" s="341" t="s">
        <v>720</v>
      </c>
      <c r="C55" s="342" t="s">
        <v>721</v>
      </c>
      <c r="D55" s="343">
        <v>107521</v>
      </c>
      <c r="E55" s="343">
        <v>10</v>
      </c>
    </row>
    <row r="56" spans="1:5">
      <c r="A56" s="422" t="s">
        <v>80</v>
      </c>
      <c r="B56" s="341" t="s">
        <v>98</v>
      </c>
      <c r="C56" s="342"/>
      <c r="D56" s="343">
        <v>106625</v>
      </c>
      <c r="E56" s="343">
        <v>10</v>
      </c>
    </row>
    <row r="57" spans="1:5">
      <c r="A57" s="422" t="s">
        <v>80</v>
      </c>
      <c r="B57" s="341" t="s">
        <v>99</v>
      </c>
      <c r="C57" s="342"/>
      <c r="D57" s="343">
        <v>106795</v>
      </c>
      <c r="E57" s="343">
        <v>10</v>
      </c>
    </row>
    <row r="58" spans="1:5">
      <c r="A58" s="343" t="s">
        <v>80</v>
      </c>
      <c r="B58" s="341" t="s">
        <v>100</v>
      </c>
      <c r="C58" s="342"/>
      <c r="D58" s="343">
        <v>106883</v>
      </c>
      <c r="E58" s="343">
        <v>10</v>
      </c>
    </row>
    <row r="59" spans="1:5">
      <c r="A59" s="422" t="s">
        <v>80</v>
      </c>
      <c r="B59" s="341" t="s">
        <v>101</v>
      </c>
      <c r="C59" s="342"/>
      <c r="D59" s="343">
        <v>107460</v>
      </c>
      <c r="E59" s="343">
        <v>10</v>
      </c>
    </row>
    <row r="60" spans="1:5">
      <c r="A60" s="343" t="s">
        <v>80</v>
      </c>
      <c r="B60" s="345" t="s">
        <v>93</v>
      </c>
      <c r="C60" s="344"/>
      <c r="D60" s="343">
        <v>106980</v>
      </c>
      <c r="E60" s="343">
        <v>10</v>
      </c>
    </row>
    <row r="61" spans="1:5">
      <c r="A61" s="422" t="s">
        <v>80</v>
      </c>
      <c r="B61" s="341" t="s">
        <v>91</v>
      </c>
      <c r="C61" s="454" t="s">
        <v>910</v>
      </c>
      <c r="D61" s="343">
        <v>367459</v>
      </c>
      <c r="E61" s="343">
        <v>8</v>
      </c>
    </row>
    <row r="62" spans="1:5">
      <c r="A62" s="422" t="s">
        <v>80</v>
      </c>
      <c r="B62" s="341" t="s">
        <v>102</v>
      </c>
      <c r="C62" s="342"/>
      <c r="D62" s="343">
        <v>107549</v>
      </c>
      <c r="E62" s="343">
        <v>10</v>
      </c>
    </row>
    <row r="63" spans="1:5">
      <c r="A63" s="422" t="s">
        <v>80</v>
      </c>
      <c r="B63" s="341" t="s">
        <v>103</v>
      </c>
      <c r="C63" s="342"/>
      <c r="D63" s="343">
        <v>107619</v>
      </c>
      <c r="E63" s="343">
        <v>10</v>
      </c>
    </row>
    <row r="64" spans="1:5">
      <c r="A64" s="422" t="s">
        <v>80</v>
      </c>
      <c r="B64" s="341" t="s">
        <v>104</v>
      </c>
      <c r="C64" s="342"/>
      <c r="D64" s="343">
        <v>107974</v>
      </c>
      <c r="E64" s="343">
        <v>10</v>
      </c>
    </row>
    <row r="65" spans="1:5">
      <c r="A65" s="343" t="s">
        <v>80</v>
      </c>
      <c r="B65" s="341" t="s">
        <v>106</v>
      </c>
      <c r="C65" s="342"/>
      <c r="D65" s="343">
        <v>107992</v>
      </c>
      <c r="E65" s="343">
        <v>10</v>
      </c>
    </row>
    <row r="66" spans="1:5">
      <c r="A66" s="422" t="s">
        <v>80</v>
      </c>
      <c r="B66" s="341" t="s">
        <v>105</v>
      </c>
      <c r="C66" s="342"/>
      <c r="D66" s="343">
        <v>107637</v>
      </c>
      <c r="E66" s="343">
        <v>10</v>
      </c>
    </row>
    <row r="67" spans="1:5">
      <c r="A67" s="343" t="s">
        <v>80</v>
      </c>
      <c r="B67" s="341" t="s">
        <v>107</v>
      </c>
      <c r="C67" s="342"/>
      <c r="D67" s="343">
        <v>106999</v>
      </c>
      <c r="E67" s="343">
        <v>10</v>
      </c>
    </row>
    <row r="68" spans="1:5">
      <c r="A68" s="422" t="s">
        <v>80</v>
      </c>
      <c r="B68" s="341" t="s">
        <v>722</v>
      </c>
      <c r="C68" s="342"/>
      <c r="D68" s="343">
        <v>107725</v>
      </c>
      <c r="E68" s="343">
        <v>10</v>
      </c>
    </row>
    <row r="69" spans="1:5">
      <c r="A69" s="343" t="s">
        <v>80</v>
      </c>
      <c r="B69" s="341" t="s">
        <v>108</v>
      </c>
      <c r="C69" s="342"/>
      <c r="D69" s="343">
        <v>107585</v>
      </c>
      <c r="E69" s="343">
        <v>10</v>
      </c>
    </row>
    <row r="70" spans="1:5">
      <c r="A70" s="422" t="s">
        <v>80</v>
      </c>
      <c r="B70" s="341" t="s">
        <v>710</v>
      </c>
      <c r="C70" s="342"/>
      <c r="D70" s="343">
        <v>107743</v>
      </c>
      <c r="E70" s="343">
        <v>10</v>
      </c>
    </row>
    <row r="71" spans="1:5">
      <c r="A71" s="343" t="s">
        <v>80</v>
      </c>
      <c r="B71" s="341" t="s">
        <v>709</v>
      </c>
      <c r="C71" s="344"/>
      <c r="D71" s="343">
        <v>107664</v>
      </c>
      <c r="E71" s="343">
        <v>9</v>
      </c>
    </row>
    <row r="72" spans="1:5">
      <c r="A72" s="346" t="s">
        <v>110</v>
      </c>
      <c r="B72" s="347" t="s">
        <v>111</v>
      </c>
      <c r="C72" s="348"/>
      <c r="D72" s="346">
        <v>130943</v>
      </c>
      <c r="E72" s="346">
        <v>1</v>
      </c>
    </row>
    <row r="73" spans="1:5">
      <c r="A73" s="423" t="s">
        <v>110</v>
      </c>
      <c r="B73" s="347" t="s">
        <v>112</v>
      </c>
      <c r="C73" s="349"/>
      <c r="D73" s="346">
        <v>130934</v>
      </c>
      <c r="E73" s="346">
        <v>3</v>
      </c>
    </row>
    <row r="74" spans="1:5">
      <c r="A74" s="423" t="s">
        <v>110</v>
      </c>
      <c r="B74" s="347" t="s">
        <v>113</v>
      </c>
      <c r="C74" s="348" t="s">
        <v>723</v>
      </c>
      <c r="D74" s="346">
        <v>130907</v>
      </c>
      <c r="E74" s="346">
        <v>9</v>
      </c>
    </row>
    <row r="75" spans="1:5">
      <c r="A75" s="44" t="s">
        <v>114</v>
      </c>
      <c r="B75" s="45"/>
      <c r="C75" s="54"/>
      <c r="D75" s="46"/>
      <c r="E75" s="46"/>
    </row>
    <row r="76" spans="1:5">
      <c r="A76" s="350" t="s">
        <v>114</v>
      </c>
      <c r="B76" s="351" t="s">
        <v>115</v>
      </c>
      <c r="C76" s="352"/>
      <c r="D76" s="350">
        <v>132693</v>
      </c>
      <c r="E76" s="350">
        <v>7</v>
      </c>
    </row>
    <row r="77" spans="1:5">
      <c r="A77" s="350" t="s">
        <v>114</v>
      </c>
      <c r="B77" s="351" t="s">
        <v>116</v>
      </c>
      <c r="C77" s="352"/>
      <c r="D77" s="350">
        <v>132709</v>
      </c>
      <c r="E77" s="350">
        <v>7</v>
      </c>
    </row>
    <row r="78" spans="1:5">
      <c r="A78" s="350" t="s">
        <v>114</v>
      </c>
      <c r="B78" s="351" t="s">
        <v>117</v>
      </c>
      <c r="C78" s="352"/>
      <c r="D78" s="350">
        <v>132851</v>
      </c>
      <c r="E78" s="350">
        <v>7</v>
      </c>
    </row>
    <row r="79" spans="1:5">
      <c r="A79" s="350" t="s">
        <v>114</v>
      </c>
      <c r="B79" s="351" t="s">
        <v>118</v>
      </c>
      <c r="C79" s="353"/>
      <c r="D79" s="350">
        <v>133021</v>
      </c>
      <c r="E79" s="350">
        <v>7</v>
      </c>
    </row>
    <row r="80" spans="1:5">
      <c r="A80" s="350" t="s">
        <v>114</v>
      </c>
      <c r="B80" s="351" t="s">
        <v>119</v>
      </c>
      <c r="C80" s="353"/>
      <c r="D80" s="350">
        <v>133386</v>
      </c>
      <c r="E80" s="350">
        <v>7</v>
      </c>
    </row>
    <row r="81" spans="1:5">
      <c r="A81" s="350" t="s">
        <v>114</v>
      </c>
      <c r="B81" s="351" t="s">
        <v>120</v>
      </c>
      <c r="C81" s="353"/>
      <c r="D81" s="350">
        <v>133508</v>
      </c>
      <c r="E81" s="350">
        <v>7</v>
      </c>
    </row>
    <row r="82" spans="1:5">
      <c r="A82" s="350" t="s">
        <v>114</v>
      </c>
      <c r="B82" s="351" t="s">
        <v>121</v>
      </c>
      <c r="C82" s="354"/>
      <c r="D82" s="350">
        <v>133702</v>
      </c>
      <c r="E82" s="350">
        <v>7</v>
      </c>
    </row>
    <row r="83" spans="1:5">
      <c r="A83" s="350" t="s">
        <v>114</v>
      </c>
      <c r="B83" s="351" t="s">
        <v>724</v>
      </c>
      <c r="C83" s="353" t="s">
        <v>725</v>
      </c>
      <c r="D83" s="350">
        <v>133960</v>
      </c>
      <c r="E83" s="350">
        <v>10</v>
      </c>
    </row>
    <row r="84" spans="1:5">
      <c r="A84" s="350" t="s">
        <v>114</v>
      </c>
      <c r="B84" s="351" t="s">
        <v>122</v>
      </c>
      <c r="C84" s="352"/>
      <c r="D84" s="350">
        <v>134343</v>
      </c>
      <c r="E84" s="350">
        <v>7</v>
      </c>
    </row>
    <row r="85" spans="1:5">
      <c r="A85" s="350" t="s">
        <v>114</v>
      </c>
      <c r="B85" s="351" t="s">
        <v>123</v>
      </c>
      <c r="C85" s="353"/>
      <c r="D85" s="350">
        <v>134495</v>
      </c>
      <c r="E85" s="350">
        <v>8</v>
      </c>
    </row>
    <row r="86" spans="1:5">
      <c r="A86" s="350" t="s">
        <v>114</v>
      </c>
      <c r="B86" s="351" t="s">
        <v>124</v>
      </c>
      <c r="C86" s="354"/>
      <c r="D86" s="350">
        <v>134608</v>
      </c>
      <c r="E86" s="350">
        <v>7</v>
      </c>
    </row>
    <row r="87" spans="1:5">
      <c r="A87" s="350" t="s">
        <v>114</v>
      </c>
      <c r="B87" s="351" t="s">
        <v>125</v>
      </c>
      <c r="C87" s="352"/>
      <c r="D87" s="350">
        <v>135160</v>
      </c>
      <c r="E87" s="350">
        <v>7</v>
      </c>
    </row>
    <row r="88" spans="1:5">
      <c r="A88" s="350" t="s">
        <v>114</v>
      </c>
      <c r="B88" s="351" t="s">
        <v>126</v>
      </c>
      <c r="C88" s="352"/>
      <c r="D88" s="350">
        <v>135188</v>
      </c>
      <c r="E88" s="350">
        <v>7</v>
      </c>
    </row>
    <row r="89" spans="1:5">
      <c r="A89" s="350" t="s">
        <v>114</v>
      </c>
      <c r="B89" s="351" t="s">
        <v>127</v>
      </c>
      <c r="C89" s="352"/>
      <c r="D89" s="350">
        <v>135391</v>
      </c>
      <c r="E89" s="350">
        <v>7</v>
      </c>
    </row>
    <row r="90" spans="1:5">
      <c r="A90" s="350" t="s">
        <v>114</v>
      </c>
      <c r="B90" s="351" t="s">
        <v>128</v>
      </c>
      <c r="C90" s="353"/>
      <c r="D90" s="350">
        <v>135717</v>
      </c>
      <c r="E90" s="350">
        <v>7</v>
      </c>
    </row>
    <row r="91" spans="1:5">
      <c r="A91" s="350" t="s">
        <v>114</v>
      </c>
      <c r="B91" s="351" t="s">
        <v>726</v>
      </c>
      <c r="C91" s="353" t="s">
        <v>723</v>
      </c>
      <c r="D91" s="350">
        <v>136145</v>
      </c>
      <c r="E91" s="350">
        <v>10</v>
      </c>
    </row>
    <row r="92" spans="1:5">
      <c r="A92" s="350" t="s">
        <v>114</v>
      </c>
      <c r="B92" s="351" t="s">
        <v>129</v>
      </c>
      <c r="C92" s="353"/>
      <c r="D92" s="350">
        <v>136233</v>
      </c>
      <c r="E92" s="350">
        <v>7</v>
      </c>
    </row>
    <row r="93" spans="1:5">
      <c r="A93" s="350" t="s">
        <v>114</v>
      </c>
      <c r="B93" s="351" t="s">
        <v>130</v>
      </c>
      <c r="C93" s="352"/>
      <c r="D93" s="350">
        <v>136358</v>
      </c>
      <c r="E93" s="350">
        <v>7</v>
      </c>
    </row>
    <row r="94" spans="1:5">
      <c r="A94" s="350" t="s">
        <v>114</v>
      </c>
      <c r="B94" s="351" t="s">
        <v>131</v>
      </c>
      <c r="C94" s="352"/>
      <c r="D94" s="350">
        <v>136400</v>
      </c>
      <c r="E94" s="350">
        <v>7</v>
      </c>
    </row>
    <row r="95" spans="1:5">
      <c r="A95" s="350" t="s">
        <v>114</v>
      </c>
      <c r="B95" s="351" t="s">
        <v>132</v>
      </c>
      <c r="C95" s="352"/>
      <c r="D95" s="350">
        <v>136473</v>
      </c>
      <c r="E95" s="350">
        <v>7</v>
      </c>
    </row>
    <row r="96" spans="1:5">
      <c r="A96" s="350" t="s">
        <v>114</v>
      </c>
      <c r="B96" s="351" t="s">
        <v>133</v>
      </c>
      <c r="C96" s="352"/>
      <c r="D96" s="350">
        <v>136516</v>
      </c>
      <c r="E96" s="350">
        <v>7</v>
      </c>
    </row>
    <row r="97" spans="1:5">
      <c r="A97" s="350" t="s">
        <v>114</v>
      </c>
      <c r="B97" s="351" t="s">
        <v>134</v>
      </c>
      <c r="C97" s="352"/>
      <c r="D97" s="350">
        <v>137281</v>
      </c>
      <c r="E97" s="350">
        <v>7</v>
      </c>
    </row>
    <row r="98" spans="1:5">
      <c r="A98" s="350" t="s">
        <v>114</v>
      </c>
      <c r="B98" s="351" t="s">
        <v>135</v>
      </c>
      <c r="C98" s="353"/>
      <c r="D98" s="350">
        <v>137078</v>
      </c>
      <c r="E98" s="350">
        <v>7</v>
      </c>
    </row>
    <row r="99" spans="1:5">
      <c r="A99" s="350" t="s">
        <v>114</v>
      </c>
      <c r="B99" s="351" t="s">
        <v>136</v>
      </c>
      <c r="C99" s="352"/>
      <c r="D99" s="350">
        <v>137096</v>
      </c>
      <c r="E99" s="350">
        <v>7</v>
      </c>
    </row>
    <row r="100" spans="1:5">
      <c r="A100" s="350" t="s">
        <v>114</v>
      </c>
      <c r="B100" s="351" t="s">
        <v>137</v>
      </c>
      <c r="C100" s="352"/>
      <c r="D100" s="350">
        <v>137209</v>
      </c>
      <c r="E100" s="350">
        <v>7</v>
      </c>
    </row>
    <row r="101" spans="1:5">
      <c r="A101" s="350" t="s">
        <v>114</v>
      </c>
      <c r="B101" s="351" t="s">
        <v>138</v>
      </c>
      <c r="C101" s="352"/>
      <c r="D101" s="350">
        <v>137315</v>
      </c>
      <c r="E101" s="350">
        <v>7</v>
      </c>
    </row>
    <row r="102" spans="1:5">
      <c r="A102" s="350" t="s">
        <v>114</v>
      </c>
      <c r="B102" s="351" t="s">
        <v>139</v>
      </c>
      <c r="C102" s="353" t="s">
        <v>723</v>
      </c>
      <c r="D102" s="350">
        <v>137759</v>
      </c>
      <c r="E102" s="350">
        <v>8</v>
      </c>
    </row>
    <row r="103" spans="1:5">
      <c r="A103" s="350" t="s">
        <v>114</v>
      </c>
      <c r="B103" s="351" t="s">
        <v>140</v>
      </c>
      <c r="C103" s="352"/>
      <c r="D103" s="350">
        <v>138187</v>
      </c>
      <c r="E103" s="350">
        <v>7</v>
      </c>
    </row>
    <row r="104" spans="1:5">
      <c r="A104" s="424" t="s">
        <v>141</v>
      </c>
      <c r="B104" s="355" t="s">
        <v>711</v>
      </c>
      <c r="C104" s="356"/>
      <c r="D104" s="357">
        <v>139940</v>
      </c>
      <c r="E104" s="358">
        <v>1</v>
      </c>
    </row>
    <row r="105" spans="1:5">
      <c r="A105" s="424" t="s">
        <v>141</v>
      </c>
      <c r="B105" s="355" t="s">
        <v>142</v>
      </c>
      <c r="C105" s="356"/>
      <c r="D105" s="357">
        <v>139959</v>
      </c>
      <c r="E105" s="358">
        <v>1</v>
      </c>
    </row>
    <row r="106" spans="1:5">
      <c r="A106" s="424" t="s">
        <v>141</v>
      </c>
      <c r="B106" s="355" t="s">
        <v>143</v>
      </c>
      <c r="C106" s="356"/>
      <c r="D106" s="357">
        <v>139755</v>
      </c>
      <c r="E106" s="358">
        <v>2</v>
      </c>
    </row>
    <row r="107" spans="1:5">
      <c r="A107" s="424" t="s">
        <v>141</v>
      </c>
      <c r="B107" s="355" t="s">
        <v>144</v>
      </c>
      <c r="C107" s="356" t="s">
        <v>727</v>
      </c>
      <c r="D107" s="357">
        <v>139931</v>
      </c>
      <c r="E107" s="358">
        <v>3</v>
      </c>
    </row>
    <row r="108" spans="1:5">
      <c r="A108" s="424" t="s">
        <v>141</v>
      </c>
      <c r="B108" s="355" t="s">
        <v>145</v>
      </c>
      <c r="C108" s="356" t="s">
        <v>727</v>
      </c>
      <c r="D108" s="357">
        <v>486840</v>
      </c>
      <c r="E108" s="358">
        <v>3</v>
      </c>
    </row>
    <row r="109" spans="1:5">
      <c r="A109" s="424" t="s">
        <v>141</v>
      </c>
      <c r="B109" s="355" t="s">
        <v>146</v>
      </c>
      <c r="C109" s="356"/>
      <c r="D109" s="357">
        <v>141334</v>
      </c>
      <c r="E109" s="358">
        <v>3</v>
      </c>
    </row>
    <row r="110" spans="1:5">
      <c r="A110" s="424" t="s">
        <v>141</v>
      </c>
      <c r="B110" s="355" t="s">
        <v>147</v>
      </c>
      <c r="C110" s="356"/>
      <c r="D110" s="357">
        <v>141264</v>
      </c>
      <c r="E110" s="358">
        <v>3</v>
      </c>
    </row>
    <row r="111" spans="1:5">
      <c r="A111" s="424" t="s">
        <v>141</v>
      </c>
      <c r="B111" s="355" t="s">
        <v>148</v>
      </c>
      <c r="C111" s="356"/>
      <c r="D111" s="357">
        <v>138716</v>
      </c>
      <c r="E111" s="358">
        <v>4</v>
      </c>
    </row>
    <row r="112" spans="1:5">
      <c r="A112" s="424" t="s">
        <v>141</v>
      </c>
      <c r="B112" s="359" t="s">
        <v>712</v>
      </c>
      <c r="C112" s="356"/>
      <c r="D112" s="357">
        <v>482149</v>
      </c>
      <c r="E112" s="358">
        <v>4</v>
      </c>
    </row>
    <row r="113" spans="1:5">
      <c r="A113" s="424" t="s">
        <v>141</v>
      </c>
      <c r="B113" s="355" t="s">
        <v>149</v>
      </c>
      <c r="C113" s="360"/>
      <c r="D113" s="357">
        <v>139311</v>
      </c>
      <c r="E113" s="358">
        <v>4</v>
      </c>
    </row>
    <row r="114" spans="1:5">
      <c r="A114" s="424" t="s">
        <v>141</v>
      </c>
      <c r="B114" s="355" t="s">
        <v>150</v>
      </c>
      <c r="C114" s="356" t="s">
        <v>715</v>
      </c>
      <c r="D114" s="357">
        <v>139366</v>
      </c>
      <c r="E114" s="358">
        <v>4</v>
      </c>
    </row>
    <row r="115" spans="1:5">
      <c r="A115" s="424" t="s">
        <v>141</v>
      </c>
      <c r="B115" s="355" t="s">
        <v>151</v>
      </c>
      <c r="C115" s="425" t="s">
        <v>901</v>
      </c>
      <c r="D115" s="426">
        <v>139719</v>
      </c>
      <c r="E115" s="427">
        <v>5</v>
      </c>
    </row>
    <row r="116" spans="1:5">
      <c r="A116" s="424" t="s">
        <v>141</v>
      </c>
      <c r="B116" s="355" t="s">
        <v>152</v>
      </c>
      <c r="C116" s="356"/>
      <c r="D116" s="357">
        <v>139861</v>
      </c>
      <c r="E116" s="358">
        <v>4</v>
      </c>
    </row>
    <row r="117" spans="1:5">
      <c r="A117" s="424" t="s">
        <v>141</v>
      </c>
      <c r="B117" s="355" t="s">
        <v>154</v>
      </c>
      <c r="C117" s="356" t="s">
        <v>716</v>
      </c>
      <c r="D117" s="357">
        <v>139764</v>
      </c>
      <c r="E117" s="358">
        <v>4</v>
      </c>
    </row>
    <row r="118" spans="1:5">
      <c r="A118" s="424" t="s">
        <v>141</v>
      </c>
      <c r="B118" s="355" t="s">
        <v>153</v>
      </c>
      <c r="C118" s="356"/>
      <c r="D118" s="358">
        <v>482680</v>
      </c>
      <c r="E118" s="358">
        <v>4</v>
      </c>
    </row>
    <row r="119" spans="1:5">
      <c r="A119" s="424" t="s">
        <v>141</v>
      </c>
      <c r="B119" s="355" t="s">
        <v>155</v>
      </c>
      <c r="C119" s="455" t="s">
        <v>911</v>
      </c>
      <c r="D119" s="357">
        <v>140960</v>
      </c>
      <c r="E119" s="358">
        <v>5</v>
      </c>
    </row>
    <row r="120" spans="1:5">
      <c r="A120" s="424" t="s">
        <v>141</v>
      </c>
      <c r="B120" s="355" t="s">
        <v>160</v>
      </c>
      <c r="C120" s="356"/>
      <c r="D120" s="357">
        <v>138558</v>
      </c>
      <c r="E120" s="428">
        <v>6</v>
      </c>
    </row>
    <row r="121" spans="1:5">
      <c r="A121" s="424" t="s">
        <v>141</v>
      </c>
      <c r="B121" s="355" t="s">
        <v>156</v>
      </c>
      <c r="C121" s="360"/>
      <c r="D121" s="357">
        <v>139250</v>
      </c>
      <c r="E121" s="358">
        <v>6</v>
      </c>
    </row>
    <row r="122" spans="1:5">
      <c r="A122" s="424" t="s">
        <v>141</v>
      </c>
      <c r="B122" s="355" t="s">
        <v>157</v>
      </c>
      <c r="C122" s="360"/>
      <c r="D122" s="357">
        <v>139463</v>
      </c>
      <c r="E122" s="358">
        <v>6</v>
      </c>
    </row>
    <row r="123" spans="1:5">
      <c r="A123" s="424" t="s">
        <v>141</v>
      </c>
      <c r="B123" s="355" t="s">
        <v>158</v>
      </c>
      <c r="C123" s="360"/>
      <c r="D123" s="357">
        <v>447689</v>
      </c>
      <c r="E123" s="358">
        <v>6</v>
      </c>
    </row>
    <row r="124" spans="1:5">
      <c r="A124" s="424" t="s">
        <v>141</v>
      </c>
      <c r="B124" s="355" t="s">
        <v>164</v>
      </c>
      <c r="C124" s="356"/>
      <c r="D124" s="357">
        <v>139968</v>
      </c>
      <c r="E124" s="358">
        <v>6</v>
      </c>
    </row>
    <row r="125" spans="1:5">
      <c r="A125" s="424" t="s">
        <v>141</v>
      </c>
      <c r="B125" s="355" t="s">
        <v>159</v>
      </c>
      <c r="C125" s="425" t="s">
        <v>901</v>
      </c>
      <c r="D125" s="358">
        <v>482158</v>
      </c>
      <c r="E125" s="358">
        <v>6</v>
      </c>
    </row>
    <row r="126" spans="1:5">
      <c r="A126" s="424" t="s">
        <v>141</v>
      </c>
      <c r="B126" s="355" t="s">
        <v>161</v>
      </c>
      <c r="C126" s="360"/>
      <c r="D126" s="357">
        <v>138901</v>
      </c>
      <c r="E126" s="358">
        <v>7</v>
      </c>
    </row>
    <row r="127" spans="1:5">
      <c r="A127" s="424" t="s">
        <v>141</v>
      </c>
      <c r="B127" s="355" t="s">
        <v>162</v>
      </c>
      <c r="C127" s="360"/>
      <c r="D127" s="357">
        <v>139621</v>
      </c>
      <c r="E127" s="358">
        <v>7</v>
      </c>
    </row>
    <row r="128" spans="1:5">
      <c r="A128" s="424" t="s">
        <v>141</v>
      </c>
      <c r="B128" s="355" t="s">
        <v>163</v>
      </c>
      <c r="C128" s="360"/>
      <c r="D128" s="357">
        <v>139700</v>
      </c>
      <c r="E128" s="358">
        <v>7</v>
      </c>
    </row>
    <row r="129" spans="1:5">
      <c r="A129" s="424" t="s">
        <v>141</v>
      </c>
      <c r="B129" s="355" t="s">
        <v>165</v>
      </c>
      <c r="C129" s="360"/>
      <c r="D129" s="358">
        <v>482699</v>
      </c>
      <c r="E129" s="358">
        <v>7</v>
      </c>
    </row>
    <row r="130" spans="1:5">
      <c r="A130" s="429" t="s">
        <v>141</v>
      </c>
      <c r="B130" s="340" t="s">
        <v>166</v>
      </c>
      <c r="C130" s="337"/>
      <c r="D130" s="339">
        <v>138682</v>
      </c>
      <c r="E130" s="339">
        <v>12</v>
      </c>
    </row>
    <row r="131" spans="1:5">
      <c r="A131" s="429" t="s">
        <v>141</v>
      </c>
      <c r="B131" s="340" t="s">
        <v>167</v>
      </c>
      <c r="C131" s="337"/>
      <c r="D131" s="339">
        <v>246813</v>
      </c>
      <c r="E131" s="339">
        <v>12</v>
      </c>
    </row>
    <row r="132" spans="1:5">
      <c r="A132" s="429" t="s">
        <v>141</v>
      </c>
      <c r="B132" s="340" t="s">
        <v>168</v>
      </c>
      <c r="C132" s="337"/>
      <c r="D132" s="339">
        <v>138840</v>
      </c>
      <c r="E132" s="339">
        <v>12</v>
      </c>
    </row>
    <row r="133" spans="1:5">
      <c r="A133" s="429" t="s">
        <v>141</v>
      </c>
      <c r="B133" s="340" t="s">
        <v>169</v>
      </c>
      <c r="C133" s="340"/>
      <c r="D133" s="339">
        <v>138956</v>
      </c>
      <c r="E133" s="339">
        <v>12</v>
      </c>
    </row>
    <row r="134" spans="1:5">
      <c r="A134" s="429" t="s">
        <v>141</v>
      </c>
      <c r="B134" s="340" t="s">
        <v>170</v>
      </c>
      <c r="C134" s="340"/>
      <c r="D134" s="339">
        <v>483045</v>
      </c>
      <c r="E134" s="339">
        <v>12</v>
      </c>
    </row>
    <row r="135" spans="1:5">
      <c r="A135" s="429" t="s">
        <v>141</v>
      </c>
      <c r="B135" s="340" t="s">
        <v>171</v>
      </c>
      <c r="C135" s="340"/>
      <c r="D135" s="339">
        <v>140331</v>
      </c>
      <c r="E135" s="339">
        <v>12</v>
      </c>
    </row>
    <row r="136" spans="1:5">
      <c r="A136" s="429" t="s">
        <v>141</v>
      </c>
      <c r="B136" s="362" t="s">
        <v>172</v>
      </c>
      <c r="C136" s="340"/>
      <c r="D136" s="363">
        <v>485458</v>
      </c>
      <c r="E136" s="339">
        <v>12</v>
      </c>
    </row>
    <row r="137" spans="1:5">
      <c r="A137" s="429" t="s">
        <v>141</v>
      </c>
      <c r="B137" s="340" t="s">
        <v>173</v>
      </c>
      <c r="C137" s="340"/>
      <c r="D137" s="339">
        <v>139357</v>
      </c>
      <c r="E137" s="339">
        <v>12</v>
      </c>
    </row>
    <row r="138" spans="1:5">
      <c r="A138" s="429" t="s">
        <v>141</v>
      </c>
      <c r="B138" s="340" t="s">
        <v>174</v>
      </c>
      <c r="C138" s="340"/>
      <c r="D138" s="339">
        <v>139384</v>
      </c>
      <c r="E138" s="339">
        <v>12</v>
      </c>
    </row>
    <row r="139" spans="1:5">
      <c r="A139" s="429" t="s">
        <v>141</v>
      </c>
      <c r="B139" s="340" t="s">
        <v>175</v>
      </c>
      <c r="C139" s="340"/>
      <c r="D139" s="339">
        <v>244446</v>
      </c>
      <c r="E139" s="339">
        <v>12</v>
      </c>
    </row>
    <row r="140" spans="1:5">
      <c r="A140" s="429" t="s">
        <v>141</v>
      </c>
      <c r="B140" s="340" t="s">
        <v>176</v>
      </c>
      <c r="C140" s="340"/>
      <c r="D140" s="339">
        <v>140012</v>
      </c>
      <c r="E140" s="339">
        <v>12</v>
      </c>
    </row>
    <row r="141" spans="1:5">
      <c r="A141" s="429" t="s">
        <v>141</v>
      </c>
      <c r="B141" s="340" t="s">
        <v>177</v>
      </c>
      <c r="C141" s="340"/>
      <c r="D141" s="339">
        <v>140243</v>
      </c>
      <c r="E141" s="339">
        <v>12</v>
      </c>
    </row>
    <row r="142" spans="1:5">
      <c r="A142" s="429" t="s">
        <v>141</v>
      </c>
      <c r="B142" s="340" t="s">
        <v>178</v>
      </c>
      <c r="C142" s="340"/>
      <c r="D142" s="339">
        <v>140678</v>
      </c>
      <c r="E142" s="339">
        <v>12</v>
      </c>
    </row>
    <row r="143" spans="1:5">
      <c r="A143" s="429" t="s">
        <v>141</v>
      </c>
      <c r="B143" s="340" t="s">
        <v>179</v>
      </c>
      <c r="C143" s="337"/>
      <c r="D143" s="339">
        <v>420431</v>
      </c>
      <c r="E143" s="339">
        <v>12</v>
      </c>
    </row>
    <row r="144" spans="1:5">
      <c r="A144" s="339" t="s">
        <v>141</v>
      </c>
      <c r="B144" s="340" t="s">
        <v>180</v>
      </c>
      <c r="C144" s="340"/>
      <c r="D144" s="339">
        <v>366465</v>
      </c>
      <c r="E144" s="339">
        <v>12</v>
      </c>
    </row>
    <row r="145" spans="1:5">
      <c r="A145" s="339" t="s">
        <v>141</v>
      </c>
      <c r="B145" s="340" t="s">
        <v>181</v>
      </c>
      <c r="C145" s="340"/>
      <c r="D145" s="339">
        <v>140942</v>
      </c>
      <c r="E145" s="339">
        <v>12</v>
      </c>
    </row>
    <row r="146" spans="1:5">
      <c r="A146" s="339" t="s">
        <v>141</v>
      </c>
      <c r="B146" s="340" t="s">
        <v>182</v>
      </c>
      <c r="C146" s="340"/>
      <c r="D146" s="339">
        <v>141006</v>
      </c>
      <c r="E146" s="339">
        <v>12</v>
      </c>
    </row>
    <row r="147" spans="1:5">
      <c r="A147" s="339" t="s">
        <v>141</v>
      </c>
      <c r="B147" s="340" t="s">
        <v>183</v>
      </c>
      <c r="C147" s="340"/>
      <c r="D147" s="339">
        <v>368911</v>
      </c>
      <c r="E147" s="339">
        <v>12</v>
      </c>
    </row>
    <row r="148" spans="1:5">
      <c r="A148" s="339" t="s">
        <v>141</v>
      </c>
      <c r="B148" s="340" t="s">
        <v>184</v>
      </c>
      <c r="C148" s="340"/>
      <c r="D148" s="339">
        <v>139986</v>
      </c>
      <c r="E148" s="339">
        <v>12</v>
      </c>
    </row>
    <row r="149" spans="1:5">
      <c r="A149" s="339" t="s">
        <v>141</v>
      </c>
      <c r="B149" s="362" t="s">
        <v>185</v>
      </c>
      <c r="C149" s="340"/>
      <c r="D149" s="363">
        <v>487162</v>
      </c>
      <c r="E149" s="339">
        <v>12</v>
      </c>
    </row>
    <row r="150" spans="1:5">
      <c r="A150" s="339" t="s">
        <v>141</v>
      </c>
      <c r="B150" s="340" t="s">
        <v>186</v>
      </c>
      <c r="C150" s="340"/>
      <c r="D150" s="339">
        <v>139278</v>
      </c>
      <c r="E150" s="339">
        <v>12</v>
      </c>
    </row>
    <row r="151" spans="1:5">
      <c r="A151" s="339" t="s">
        <v>141</v>
      </c>
      <c r="B151" s="340" t="s">
        <v>187</v>
      </c>
      <c r="C151" s="340"/>
      <c r="D151" s="339">
        <v>141255</v>
      </c>
      <c r="E151" s="339">
        <v>12</v>
      </c>
    </row>
    <row r="152" spans="1:5">
      <c r="A152" s="343" t="s">
        <v>188</v>
      </c>
      <c r="B152" s="341" t="s">
        <v>189</v>
      </c>
      <c r="C152" s="342"/>
      <c r="D152" s="343">
        <v>157085</v>
      </c>
      <c r="E152" s="343">
        <v>1</v>
      </c>
    </row>
    <row r="153" spans="1:5">
      <c r="A153" s="343" t="s">
        <v>188</v>
      </c>
      <c r="B153" s="341" t="s">
        <v>190</v>
      </c>
      <c r="C153" s="342"/>
      <c r="D153" s="343">
        <v>157289</v>
      </c>
      <c r="E153" s="343">
        <v>1</v>
      </c>
    </row>
    <row r="154" spans="1:5">
      <c r="A154" s="343" t="s">
        <v>188</v>
      </c>
      <c r="B154" s="341" t="s">
        <v>191</v>
      </c>
      <c r="C154" s="342"/>
      <c r="D154" s="343">
        <v>156620</v>
      </c>
      <c r="E154" s="343">
        <v>3</v>
      </c>
    </row>
    <row r="155" spans="1:5">
      <c r="A155" s="343" t="s">
        <v>188</v>
      </c>
      <c r="B155" s="341" t="s">
        <v>192</v>
      </c>
      <c r="C155" s="342"/>
      <c r="D155" s="343">
        <v>157386</v>
      </c>
      <c r="E155" s="343">
        <v>3</v>
      </c>
    </row>
    <row r="156" spans="1:5">
      <c r="A156" s="343" t="s">
        <v>188</v>
      </c>
      <c r="B156" s="341" t="s">
        <v>193</v>
      </c>
      <c r="C156" s="342"/>
      <c r="D156" s="343">
        <v>157401</v>
      </c>
      <c r="E156" s="343">
        <v>3</v>
      </c>
    </row>
    <row r="157" spans="1:5">
      <c r="A157" s="343" t="s">
        <v>188</v>
      </c>
      <c r="B157" s="341" t="s">
        <v>194</v>
      </c>
      <c r="C157" s="344"/>
      <c r="D157" s="343">
        <v>157447</v>
      </c>
      <c r="E157" s="343">
        <v>3</v>
      </c>
    </row>
    <row r="158" spans="1:5">
      <c r="A158" s="343" t="s">
        <v>188</v>
      </c>
      <c r="B158" s="341" t="s">
        <v>195</v>
      </c>
      <c r="C158" s="342"/>
      <c r="D158" s="343">
        <v>157951</v>
      </c>
      <c r="E158" s="343">
        <v>3</v>
      </c>
    </row>
    <row r="159" spans="1:5">
      <c r="A159" s="343" t="s">
        <v>188</v>
      </c>
      <c r="B159" s="341" t="s">
        <v>196</v>
      </c>
      <c r="C159" s="454" t="s">
        <v>912</v>
      </c>
      <c r="D159" s="343">
        <v>157058</v>
      </c>
      <c r="E159" s="343">
        <v>4</v>
      </c>
    </row>
    <row r="160" spans="1:5">
      <c r="A160" s="343" t="s">
        <v>188</v>
      </c>
      <c r="B160" s="341" t="s">
        <v>197</v>
      </c>
      <c r="C160" s="342" t="s">
        <v>764</v>
      </c>
      <c r="D160" s="364">
        <v>156392</v>
      </c>
      <c r="E160" s="343">
        <v>8</v>
      </c>
    </row>
    <row r="161" spans="1:5">
      <c r="A161" s="343" t="s">
        <v>188</v>
      </c>
      <c r="B161" s="341" t="s">
        <v>198</v>
      </c>
      <c r="C161" s="342"/>
      <c r="D161" s="343">
        <v>156921</v>
      </c>
      <c r="E161" s="343">
        <v>8</v>
      </c>
    </row>
    <row r="162" spans="1:5">
      <c r="A162" s="343" t="s">
        <v>188</v>
      </c>
      <c r="B162" s="341" t="s">
        <v>200</v>
      </c>
      <c r="C162" s="454" t="s">
        <v>913</v>
      </c>
      <c r="D162" s="343">
        <v>157553</v>
      </c>
      <c r="E162" s="343">
        <v>9</v>
      </c>
    </row>
    <row r="163" spans="1:5">
      <c r="A163" s="343" t="s">
        <v>188</v>
      </c>
      <c r="B163" s="341" t="s">
        <v>201</v>
      </c>
      <c r="C163" s="342"/>
      <c r="D163" s="343">
        <v>156648</v>
      </c>
      <c r="E163" s="343">
        <v>9</v>
      </c>
    </row>
    <row r="164" spans="1:5">
      <c r="A164" s="343" t="s">
        <v>188</v>
      </c>
      <c r="B164" s="341" t="s">
        <v>204</v>
      </c>
      <c r="C164" s="342"/>
      <c r="D164" s="343">
        <v>157331</v>
      </c>
      <c r="E164" s="343">
        <v>9</v>
      </c>
    </row>
    <row r="165" spans="1:5">
      <c r="A165" s="343" t="s">
        <v>188</v>
      </c>
      <c r="B165" s="341" t="s">
        <v>205</v>
      </c>
      <c r="C165" s="342"/>
      <c r="D165" s="343">
        <v>247940</v>
      </c>
      <c r="E165" s="343">
        <v>9</v>
      </c>
    </row>
    <row r="166" spans="1:5">
      <c r="A166" s="343" t="s">
        <v>188</v>
      </c>
      <c r="B166" s="341" t="s">
        <v>206</v>
      </c>
      <c r="C166" s="342"/>
      <c r="D166" s="343">
        <v>157711</v>
      </c>
      <c r="E166" s="343">
        <v>9</v>
      </c>
    </row>
    <row r="167" spans="1:5">
      <c r="A167" s="343" t="s">
        <v>188</v>
      </c>
      <c r="B167" s="341" t="s">
        <v>208</v>
      </c>
      <c r="C167" s="342"/>
      <c r="D167" s="343">
        <v>157483</v>
      </c>
      <c r="E167" s="343">
        <v>9</v>
      </c>
    </row>
    <row r="168" spans="1:5">
      <c r="A168" s="343" t="s">
        <v>188</v>
      </c>
      <c r="B168" s="341" t="s">
        <v>199</v>
      </c>
      <c r="C168" s="342"/>
      <c r="D168" s="343">
        <v>156231</v>
      </c>
      <c r="E168" s="343">
        <v>10</v>
      </c>
    </row>
    <row r="169" spans="1:5">
      <c r="A169" s="343" t="s">
        <v>188</v>
      </c>
      <c r="B169" s="341" t="s">
        <v>209</v>
      </c>
      <c r="C169" s="344"/>
      <c r="D169" s="343">
        <v>156790</v>
      </c>
      <c r="E169" s="343">
        <v>10</v>
      </c>
    </row>
    <row r="170" spans="1:5">
      <c r="A170" s="343" t="s">
        <v>188</v>
      </c>
      <c r="B170" s="341" t="s">
        <v>210</v>
      </c>
      <c r="C170" s="342"/>
      <c r="D170" s="343">
        <v>156851</v>
      </c>
      <c r="E170" s="343">
        <v>10</v>
      </c>
    </row>
    <row r="171" spans="1:5">
      <c r="A171" s="343" t="s">
        <v>188</v>
      </c>
      <c r="B171" s="341" t="s">
        <v>202</v>
      </c>
      <c r="C171" s="344"/>
      <c r="D171" s="343">
        <v>156860</v>
      </c>
      <c r="E171" s="343">
        <v>10</v>
      </c>
    </row>
    <row r="172" spans="1:5">
      <c r="A172" s="343" t="s">
        <v>188</v>
      </c>
      <c r="B172" s="341" t="s">
        <v>203</v>
      </c>
      <c r="C172" s="344"/>
      <c r="D172" s="343">
        <v>157304</v>
      </c>
      <c r="E172" s="343">
        <v>10</v>
      </c>
    </row>
    <row r="173" spans="1:5">
      <c r="A173" s="365" t="s">
        <v>188</v>
      </c>
      <c r="B173" s="341" t="s">
        <v>207</v>
      </c>
      <c r="C173" s="344"/>
      <c r="D173" s="343">
        <v>157739</v>
      </c>
      <c r="E173" s="343">
        <v>10</v>
      </c>
    </row>
    <row r="174" spans="1:5">
      <c r="A174" s="343" t="s">
        <v>188</v>
      </c>
      <c r="B174" s="341" t="s">
        <v>211</v>
      </c>
      <c r="C174" s="342"/>
      <c r="D174" s="343">
        <v>157438</v>
      </c>
      <c r="E174" s="343">
        <v>12</v>
      </c>
    </row>
    <row r="175" spans="1:5">
      <c r="A175" s="343" t="s">
        <v>188</v>
      </c>
      <c r="B175" s="341" t="s">
        <v>212</v>
      </c>
      <c r="C175" s="342"/>
      <c r="D175" s="343">
        <v>156338</v>
      </c>
      <c r="E175" s="343">
        <v>12</v>
      </c>
    </row>
    <row r="176" spans="1:5">
      <c r="A176" s="430" t="s">
        <v>213</v>
      </c>
      <c r="B176" s="366" t="s">
        <v>214</v>
      </c>
      <c r="C176" s="367"/>
      <c r="D176" s="368">
        <v>159391</v>
      </c>
      <c r="E176" s="368">
        <v>1</v>
      </c>
    </row>
    <row r="177" spans="1:5">
      <c r="A177" s="430" t="s">
        <v>213</v>
      </c>
      <c r="B177" s="366" t="s">
        <v>215</v>
      </c>
      <c r="C177" s="367"/>
      <c r="D177" s="368">
        <v>159647</v>
      </c>
      <c r="E177" s="368">
        <v>2</v>
      </c>
    </row>
    <row r="178" spans="1:5">
      <c r="A178" s="430" t="s">
        <v>213</v>
      </c>
      <c r="B178" s="366" t="s">
        <v>216</v>
      </c>
      <c r="C178" s="367"/>
      <c r="D178" s="368">
        <v>160658</v>
      </c>
      <c r="E178" s="368">
        <v>2</v>
      </c>
    </row>
    <row r="179" spans="1:5">
      <c r="A179" s="430" t="s">
        <v>213</v>
      </c>
      <c r="B179" s="366" t="s">
        <v>217</v>
      </c>
      <c r="C179" s="367"/>
      <c r="D179" s="368">
        <v>159939</v>
      </c>
      <c r="E179" s="368">
        <v>2</v>
      </c>
    </row>
    <row r="180" spans="1:5">
      <c r="A180" s="430" t="s">
        <v>213</v>
      </c>
      <c r="B180" s="366" t="s">
        <v>223</v>
      </c>
      <c r="C180" s="369"/>
      <c r="D180" s="368">
        <v>159717</v>
      </c>
      <c r="E180" s="368">
        <v>3</v>
      </c>
    </row>
    <row r="181" spans="1:5">
      <c r="A181" s="430" t="s">
        <v>213</v>
      </c>
      <c r="B181" s="366" t="s">
        <v>218</v>
      </c>
      <c r="C181" s="367"/>
      <c r="D181" s="368">
        <v>160612</v>
      </c>
      <c r="E181" s="368">
        <v>3</v>
      </c>
    </row>
    <row r="182" spans="1:5">
      <c r="A182" s="430" t="s">
        <v>213</v>
      </c>
      <c r="B182" s="366" t="s">
        <v>219</v>
      </c>
      <c r="C182" s="367"/>
      <c r="D182" s="368">
        <v>160621</v>
      </c>
      <c r="E182" s="368">
        <v>3</v>
      </c>
    </row>
    <row r="183" spans="1:5">
      <c r="A183" s="430" t="s">
        <v>213</v>
      </c>
      <c r="B183" s="366" t="s">
        <v>220</v>
      </c>
      <c r="C183" s="367"/>
      <c r="D183" s="368">
        <v>159993</v>
      </c>
      <c r="E183" s="368">
        <v>3</v>
      </c>
    </row>
    <row r="184" spans="1:5">
      <c r="A184" s="430" t="s">
        <v>213</v>
      </c>
      <c r="B184" s="366" t="s">
        <v>221</v>
      </c>
      <c r="C184" s="367"/>
      <c r="D184" s="368">
        <v>159009</v>
      </c>
      <c r="E184" s="368">
        <v>4</v>
      </c>
    </row>
    <row r="185" spans="1:5">
      <c r="A185" s="430" t="s">
        <v>213</v>
      </c>
      <c r="B185" s="366" t="s">
        <v>222</v>
      </c>
      <c r="C185" s="367"/>
      <c r="D185" s="368">
        <v>159416</v>
      </c>
      <c r="E185" s="368">
        <v>4</v>
      </c>
    </row>
    <row r="186" spans="1:5">
      <c r="A186" s="430" t="s">
        <v>213</v>
      </c>
      <c r="B186" s="366" t="s">
        <v>224</v>
      </c>
      <c r="C186" s="367"/>
      <c r="D186" s="368">
        <v>159966</v>
      </c>
      <c r="E186" s="368">
        <v>4</v>
      </c>
    </row>
    <row r="187" spans="1:5">
      <c r="A187" s="430" t="s">
        <v>213</v>
      </c>
      <c r="B187" s="366" t="s">
        <v>225</v>
      </c>
      <c r="C187" s="367"/>
      <c r="D187" s="368">
        <v>160038</v>
      </c>
      <c r="E187" s="368">
        <v>4</v>
      </c>
    </row>
    <row r="188" spans="1:5">
      <c r="A188" s="368" t="s">
        <v>213</v>
      </c>
      <c r="B188" s="366" t="s">
        <v>226</v>
      </c>
      <c r="C188" s="369"/>
      <c r="D188" s="368">
        <v>160630</v>
      </c>
      <c r="E188" s="368">
        <v>5</v>
      </c>
    </row>
    <row r="189" spans="1:5">
      <c r="A189" s="430" t="s">
        <v>213</v>
      </c>
      <c r="B189" s="366" t="s">
        <v>227</v>
      </c>
      <c r="C189" s="369"/>
      <c r="D189" s="368">
        <v>159382</v>
      </c>
      <c r="E189" s="368">
        <v>6</v>
      </c>
    </row>
    <row r="190" spans="1:5">
      <c r="A190" s="430" t="s">
        <v>213</v>
      </c>
      <c r="B190" s="366" t="s">
        <v>228</v>
      </c>
      <c r="C190" s="367"/>
      <c r="D190" s="368">
        <v>437103</v>
      </c>
      <c r="E190" s="368">
        <v>8</v>
      </c>
    </row>
    <row r="191" spans="1:5">
      <c r="A191" s="430" t="s">
        <v>213</v>
      </c>
      <c r="B191" s="366" t="s">
        <v>230</v>
      </c>
      <c r="C191" s="367"/>
      <c r="D191" s="368">
        <v>158662</v>
      </c>
      <c r="E191" s="368">
        <v>8</v>
      </c>
    </row>
    <row r="192" spans="1:5">
      <c r="A192" s="430" t="s">
        <v>213</v>
      </c>
      <c r="B192" s="366" t="s">
        <v>229</v>
      </c>
      <c r="C192" s="367"/>
      <c r="D192" s="368">
        <v>158431</v>
      </c>
      <c r="E192" s="368">
        <v>9</v>
      </c>
    </row>
    <row r="193" spans="1:5">
      <c r="A193" s="430" t="s">
        <v>213</v>
      </c>
      <c r="B193" s="366" t="s">
        <v>231</v>
      </c>
      <c r="C193" s="369"/>
      <c r="D193" s="368">
        <v>483212</v>
      </c>
      <c r="E193" s="368">
        <v>9</v>
      </c>
    </row>
    <row r="194" spans="1:5">
      <c r="A194" s="430" t="s">
        <v>213</v>
      </c>
      <c r="B194" s="366" t="s">
        <v>232</v>
      </c>
      <c r="C194" s="367"/>
      <c r="D194" s="368">
        <v>434061</v>
      </c>
      <c r="E194" s="368">
        <v>9</v>
      </c>
    </row>
    <row r="195" spans="1:5">
      <c r="A195" s="430" t="s">
        <v>213</v>
      </c>
      <c r="B195" s="366" t="s">
        <v>233</v>
      </c>
      <c r="C195" s="369"/>
      <c r="D195" s="368">
        <v>160649</v>
      </c>
      <c r="E195" s="368">
        <v>9</v>
      </c>
    </row>
    <row r="196" spans="1:5">
      <c r="A196" s="430" t="s">
        <v>213</v>
      </c>
      <c r="B196" s="366" t="s">
        <v>234</v>
      </c>
      <c r="C196" s="431" t="s">
        <v>902</v>
      </c>
      <c r="D196" s="432">
        <v>159407</v>
      </c>
      <c r="E196" s="433">
        <v>9</v>
      </c>
    </row>
    <row r="197" spans="1:5">
      <c r="A197" s="430" t="s">
        <v>213</v>
      </c>
      <c r="B197" s="366" t="s">
        <v>235</v>
      </c>
      <c r="C197" s="367"/>
      <c r="D197" s="368">
        <v>158884</v>
      </c>
      <c r="E197" s="368">
        <v>10</v>
      </c>
    </row>
    <row r="198" spans="1:5">
      <c r="A198" s="368" t="s">
        <v>213</v>
      </c>
      <c r="B198" s="366" t="s">
        <v>236</v>
      </c>
      <c r="C198" s="367" t="s">
        <v>718</v>
      </c>
      <c r="D198" s="368">
        <v>436304</v>
      </c>
      <c r="E198" s="368">
        <v>10</v>
      </c>
    </row>
    <row r="199" spans="1:5">
      <c r="A199" s="368" t="s">
        <v>213</v>
      </c>
      <c r="B199" s="366" t="s">
        <v>713</v>
      </c>
      <c r="C199" s="367"/>
      <c r="D199" s="368">
        <v>158088</v>
      </c>
      <c r="E199" s="368">
        <v>12</v>
      </c>
    </row>
    <row r="200" spans="1:5">
      <c r="A200" s="368" t="s">
        <v>213</v>
      </c>
      <c r="B200" s="366" t="s">
        <v>237</v>
      </c>
      <c r="C200" s="369"/>
      <c r="D200" s="368">
        <v>160481</v>
      </c>
      <c r="E200" s="368">
        <v>12</v>
      </c>
    </row>
    <row r="201" spans="1:5">
      <c r="A201" s="368" t="s">
        <v>213</v>
      </c>
      <c r="B201" s="366" t="s">
        <v>238</v>
      </c>
      <c r="C201" s="367"/>
      <c r="D201" s="368">
        <v>160667</v>
      </c>
      <c r="E201" s="368">
        <v>12</v>
      </c>
    </row>
    <row r="202" spans="1:5">
      <c r="A202" s="368" t="s">
        <v>213</v>
      </c>
      <c r="B202" s="366" t="s">
        <v>240</v>
      </c>
      <c r="C202" s="367"/>
      <c r="D202" s="368">
        <v>160579</v>
      </c>
      <c r="E202" s="368">
        <v>12</v>
      </c>
    </row>
    <row r="203" spans="1:5">
      <c r="A203" s="368" t="s">
        <v>213</v>
      </c>
      <c r="B203" s="366" t="s">
        <v>239</v>
      </c>
      <c r="C203" s="367"/>
      <c r="D203" s="368">
        <v>160010</v>
      </c>
      <c r="E203" s="368">
        <v>13</v>
      </c>
    </row>
    <row r="204" spans="1:5">
      <c r="A204" s="368" t="s">
        <v>213</v>
      </c>
      <c r="B204" s="366" t="s">
        <v>241</v>
      </c>
      <c r="C204" s="367"/>
      <c r="D204" s="368">
        <v>159373</v>
      </c>
      <c r="E204" s="368">
        <v>15</v>
      </c>
    </row>
    <row r="205" spans="1:5">
      <c r="A205" s="368" t="s">
        <v>213</v>
      </c>
      <c r="B205" s="366" t="s">
        <v>242</v>
      </c>
      <c r="C205" s="367"/>
      <c r="D205" s="368">
        <v>435000</v>
      </c>
      <c r="E205" s="368">
        <v>15</v>
      </c>
    </row>
    <row r="206" spans="1:5">
      <c r="A206" s="368" t="s">
        <v>213</v>
      </c>
      <c r="B206" s="370" t="s">
        <v>729</v>
      </c>
      <c r="C206" s="367"/>
      <c r="D206" s="371">
        <v>440916</v>
      </c>
      <c r="E206" s="368">
        <v>15</v>
      </c>
    </row>
    <row r="207" spans="1:5">
      <c r="A207" s="346" t="s">
        <v>243</v>
      </c>
      <c r="B207" s="347" t="s">
        <v>260</v>
      </c>
      <c r="C207" s="349"/>
      <c r="D207" s="346">
        <v>161688</v>
      </c>
      <c r="E207" s="346">
        <v>10</v>
      </c>
    </row>
    <row r="208" spans="1:5">
      <c r="A208" s="346" t="s">
        <v>243</v>
      </c>
      <c r="B208" s="347" t="s">
        <v>254</v>
      </c>
      <c r="C208" s="348"/>
      <c r="D208" s="346">
        <v>161767</v>
      </c>
      <c r="E208" s="346">
        <v>8</v>
      </c>
    </row>
    <row r="209" spans="1:5">
      <c r="A209" s="346" t="s">
        <v>243</v>
      </c>
      <c r="B209" s="347" t="s">
        <v>261</v>
      </c>
      <c r="C209" s="348"/>
      <c r="D209" s="346">
        <v>161864</v>
      </c>
      <c r="E209" s="346">
        <v>9</v>
      </c>
    </row>
    <row r="210" spans="1:5">
      <c r="A210" s="346" t="s">
        <v>243</v>
      </c>
      <c r="B210" s="347" t="s">
        <v>262</v>
      </c>
      <c r="C210" s="348" t="s">
        <v>730</v>
      </c>
      <c r="D210" s="346">
        <v>405872</v>
      </c>
      <c r="E210" s="346">
        <v>9</v>
      </c>
    </row>
    <row r="211" spans="1:5">
      <c r="A211" s="346" t="s">
        <v>243</v>
      </c>
      <c r="B211" s="347" t="s">
        <v>267</v>
      </c>
      <c r="C211" s="348"/>
      <c r="D211" s="346">
        <v>162104</v>
      </c>
      <c r="E211" s="346">
        <v>10</v>
      </c>
    </row>
    <row r="212" spans="1:5">
      <c r="A212" s="346" t="s">
        <v>243</v>
      </c>
      <c r="B212" s="347" t="s">
        <v>268</v>
      </c>
      <c r="C212" s="349"/>
      <c r="D212" s="346">
        <v>162168</v>
      </c>
      <c r="E212" s="346">
        <v>10</v>
      </c>
    </row>
    <row r="213" spans="1:5">
      <c r="A213" s="423" t="s">
        <v>243</v>
      </c>
      <c r="B213" s="347" t="s">
        <v>255</v>
      </c>
      <c r="C213" s="348" t="s">
        <v>728</v>
      </c>
      <c r="D213" s="346">
        <v>162122</v>
      </c>
      <c r="E213" s="434">
        <v>9</v>
      </c>
    </row>
    <row r="214" spans="1:5">
      <c r="A214" s="346" t="s">
        <v>243</v>
      </c>
      <c r="B214" s="347" t="s">
        <v>256</v>
      </c>
      <c r="C214" s="348"/>
      <c r="D214" s="346">
        <v>434672</v>
      </c>
      <c r="E214" s="346">
        <v>8</v>
      </c>
    </row>
    <row r="215" spans="1:5">
      <c r="A215" s="346" t="s">
        <v>243</v>
      </c>
      <c r="B215" s="347" t="s">
        <v>263</v>
      </c>
      <c r="C215" s="348"/>
      <c r="D215" s="346">
        <v>162557</v>
      </c>
      <c r="E215" s="346">
        <v>9</v>
      </c>
    </row>
    <row r="216" spans="1:5">
      <c r="A216" s="346" t="s">
        <v>243</v>
      </c>
      <c r="B216" s="347" t="s">
        <v>269</v>
      </c>
      <c r="C216" s="348"/>
      <c r="D216" s="346">
        <v>162609</v>
      </c>
      <c r="E216" s="346">
        <v>10</v>
      </c>
    </row>
    <row r="217" spans="1:5">
      <c r="A217" s="346" t="s">
        <v>243</v>
      </c>
      <c r="B217" s="347" t="s">
        <v>264</v>
      </c>
      <c r="C217" s="348"/>
      <c r="D217" s="346">
        <v>162690</v>
      </c>
      <c r="E217" s="346">
        <v>9</v>
      </c>
    </row>
    <row r="218" spans="1:5">
      <c r="A218" s="346" t="s">
        <v>243</v>
      </c>
      <c r="B218" s="347" t="s">
        <v>265</v>
      </c>
      <c r="C218" s="349"/>
      <c r="D218" s="346">
        <v>162706</v>
      </c>
      <c r="E218" s="346">
        <v>9</v>
      </c>
    </row>
    <row r="219" spans="1:5">
      <c r="A219" s="346" t="s">
        <v>243</v>
      </c>
      <c r="B219" s="347" t="s">
        <v>257</v>
      </c>
      <c r="C219" s="348"/>
      <c r="D219" s="346">
        <v>162779</v>
      </c>
      <c r="E219" s="346">
        <v>8</v>
      </c>
    </row>
    <row r="220" spans="1:5">
      <c r="A220" s="346" t="s">
        <v>243</v>
      </c>
      <c r="B220" s="347" t="s">
        <v>258</v>
      </c>
      <c r="C220" s="348"/>
      <c r="D220" s="346">
        <v>163426</v>
      </c>
      <c r="E220" s="346">
        <v>8</v>
      </c>
    </row>
    <row r="221" spans="1:5">
      <c r="A221" s="346" t="s">
        <v>243</v>
      </c>
      <c r="B221" s="347" t="s">
        <v>259</v>
      </c>
      <c r="C221" s="348"/>
      <c r="D221" s="346">
        <v>163657</v>
      </c>
      <c r="E221" s="346">
        <v>8</v>
      </c>
    </row>
    <row r="222" spans="1:5">
      <c r="A222" s="346" t="s">
        <v>243</v>
      </c>
      <c r="B222" s="347" t="s">
        <v>266</v>
      </c>
      <c r="C222" s="349"/>
      <c r="D222" s="346">
        <v>164313</v>
      </c>
      <c r="E222" s="346">
        <v>10</v>
      </c>
    </row>
    <row r="223" spans="1:5">
      <c r="A223" s="346" t="s">
        <v>243</v>
      </c>
      <c r="B223" s="347" t="s">
        <v>247</v>
      </c>
      <c r="C223" s="348" t="s">
        <v>715</v>
      </c>
      <c r="D223" s="346">
        <v>162007</v>
      </c>
      <c r="E223" s="346">
        <v>4</v>
      </c>
    </row>
    <row r="224" spans="1:5">
      <c r="A224" s="346" t="s">
        <v>243</v>
      </c>
      <c r="B224" s="347" t="s">
        <v>252</v>
      </c>
      <c r="C224" s="348" t="s">
        <v>731</v>
      </c>
      <c r="D224" s="346">
        <v>162283</v>
      </c>
      <c r="E224" s="346">
        <v>5</v>
      </c>
    </row>
    <row r="225" spans="1:5">
      <c r="A225" s="346" t="s">
        <v>243</v>
      </c>
      <c r="B225" s="347" t="s">
        <v>248</v>
      </c>
      <c r="C225" s="348"/>
      <c r="D225" s="346">
        <v>162584</v>
      </c>
      <c r="E225" s="346">
        <v>4</v>
      </c>
    </row>
    <row r="226" spans="1:5">
      <c r="A226" s="346" t="s">
        <v>243</v>
      </c>
      <c r="B226" s="347" t="s">
        <v>249</v>
      </c>
      <c r="C226" s="348"/>
      <c r="D226" s="346">
        <v>163851</v>
      </c>
      <c r="E226" s="346">
        <v>4</v>
      </c>
    </row>
    <row r="227" spans="1:5">
      <c r="A227" s="346" t="s">
        <v>243</v>
      </c>
      <c r="B227" s="347" t="s">
        <v>246</v>
      </c>
      <c r="C227" s="348"/>
      <c r="D227" s="346">
        <v>164076</v>
      </c>
      <c r="E227" s="346">
        <v>3</v>
      </c>
    </row>
    <row r="228" spans="1:5">
      <c r="A228" s="346" t="s">
        <v>243</v>
      </c>
      <c r="B228" s="347" t="s">
        <v>250</v>
      </c>
      <c r="C228" s="349"/>
      <c r="D228" s="346">
        <v>161873</v>
      </c>
      <c r="E228" s="346">
        <v>3</v>
      </c>
    </row>
    <row r="229" spans="1:5">
      <c r="A229" s="346" t="s">
        <v>243</v>
      </c>
      <c r="B229" s="347" t="s">
        <v>270</v>
      </c>
      <c r="C229" s="349"/>
      <c r="D229" s="346">
        <v>163259</v>
      </c>
      <c r="E229" s="346">
        <v>15</v>
      </c>
    </row>
    <row r="230" spans="1:5">
      <c r="A230" s="346" t="s">
        <v>243</v>
      </c>
      <c r="B230" s="347" t="s">
        <v>245</v>
      </c>
      <c r="C230" s="348"/>
      <c r="D230" s="346">
        <v>163268</v>
      </c>
      <c r="E230" s="346">
        <v>2</v>
      </c>
    </row>
    <row r="231" spans="1:5">
      <c r="A231" s="346" t="s">
        <v>243</v>
      </c>
      <c r="B231" s="372" t="s">
        <v>765</v>
      </c>
      <c r="C231" s="348"/>
      <c r="D231" s="346">
        <v>163286</v>
      </c>
      <c r="E231" s="346">
        <v>1</v>
      </c>
    </row>
    <row r="232" spans="1:5">
      <c r="A232" s="346" t="s">
        <v>243</v>
      </c>
      <c r="B232" s="347" t="s">
        <v>251</v>
      </c>
      <c r="C232" s="348"/>
      <c r="D232" s="346">
        <v>163338</v>
      </c>
      <c r="E232" s="346">
        <v>4</v>
      </c>
    </row>
    <row r="233" spans="1:5">
      <c r="A233" s="346" t="s">
        <v>243</v>
      </c>
      <c r="B233" s="347" t="s">
        <v>732</v>
      </c>
      <c r="C233" s="348"/>
      <c r="D233" s="346">
        <v>163204</v>
      </c>
      <c r="E233" s="346">
        <v>15</v>
      </c>
    </row>
    <row r="234" spans="1:5">
      <c r="A234" s="346" t="s">
        <v>243</v>
      </c>
      <c r="B234" s="347" t="s">
        <v>244</v>
      </c>
      <c r="C234" s="349"/>
      <c r="D234" s="346">
        <v>163453</v>
      </c>
      <c r="E234" s="346">
        <v>2</v>
      </c>
    </row>
    <row r="235" spans="1:5">
      <c r="A235" s="346" t="s">
        <v>243</v>
      </c>
      <c r="B235" s="347" t="s">
        <v>253</v>
      </c>
      <c r="C235" s="348"/>
      <c r="D235" s="346">
        <v>163912</v>
      </c>
      <c r="E235" s="346">
        <v>6</v>
      </c>
    </row>
    <row r="236" spans="1:5">
      <c r="A236" s="435" t="s">
        <v>271</v>
      </c>
      <c r="B236" s="373" t="s">
        <v>272</v>
      </c>
      <c r="C236" s="374"/>
      <c r="D236" s="375">
        <v>176080</v>
      </c>
      <c r="E236" s="375">
        <v>1</v>
      </c>
    </row>
    <row r="237" spans="1:5">
      <c r="A237" s="435" t="s">
        <v>271</v>
      </c>
      <c r="B237" s="373" t="s">
        <v>275</v>
      </c>
      <c r="C237" s="376"/>
      <c r="D237" s="375">
        <v>176017</v>
      </c>
      <c r="E237" s="375">
        <v>1</v>
      </c>
    </row>
    <row r="238" spans="1:5">
      <c r="A238" s="435" t="s">
        <v>271</v>
      </c>
      <c r="B238" s="373" t="s">
        <v>273</v>
      </c>
      <c r="C238" s="374"/>
      <c r="D238" s="375">
        <v>176372</v>
      </c>
      <c r="E238" s="375">
        <v>1</v>
      </c>
    </row>
    <row r="239" spans="1:5">
      <c r="A239" s="435" t="s">
        <v>271</v>
      </c>
      <c r="B239" s="373" t="s">
        <v>274</v>
      </c>
      <c r="C239" s="374"/>
      <c r="D239" s="375">
        <v>175856</v>
      </c>
      <c r="E239" s="375">
        <v>2</v>
      </c>
    </row>
    <row r="240" spans="1:5">
      <c r="A240" s="435" t="s">
        <v>271</v>
      </c>
      <c r="B240" s="373" t="s">
        <v>276</v>
      </c>
      <c r="C240" s="374"/>
      <c r="D240" s="375">
        <v>175342</v>
      </c>
      <c r="E240" s="375">
        <v>4</v>
      </c>
    </row>
    <row r="241" spans="1:5">
      <c r="A241" s="435" t="s">
        <v>271</v>
      </c>
      <c r="B241" s="373" t="s">
        <v>277</v>
      </c>
      <c r="C241" s="374"/>
      <c r="D241" s="375">
        <v>175616</v>
      </c>
      <c r="E241" s="375">
        <v>4</v>
      </c>
    </row>
    <row r="242" spans="1:5">
      <c r="A242" s="435" t="s">
        <v>271</v>
      </c>
      <c r="B242" s="373" t="s">
        <v>279</v>
      </c>
      <c r="C242" s="374" t="s">
        <v>719</v>
      </c>
      <c r="D242" s="375">
        <v>176035</v>
      </c>
      <c r="E242" s="436">
        <v>4</v>
      </c>
    </row>
    <row r="243" spans="1:5">
      <c r="A243" s="375" t="s">
        <v>271</v>
      </c>
      <c r="B243" s="373" t="s">
        <v>278</v>
      </c>
      <c r="C243" s="374"/>
      <c r="D243" s="375">
        <v>176044</v>
      </c>
      <c r="E243" s="375">
        <v>4</v>
      </c>
    </row>
    <row r="244" spans="1:5">
      <c r="A244" s="51" t="s">
        <v>271</v>
      </c>
      <c r="B244" s="47"/>
      <c r="C244" s="48"/>
      <c r="D244" s="52"/>
      <c r="E244" s="53"/>
    </row>
    <row r="245" spans="1:5">
      <c r="A245" s="437" t="s">
        <v>280</v>
      </c>
      <c r="B245" s="379" t="s">
        <v>281</v>
      </c>
      <c r="C245" s="380"/>
      <c r="D245" s="381">
        <v>199193</v>
      </c>
      <c r="E245" s="381">
        <v>1</v>
      </c>
    </row>
    <row r="246" spans="1:5">
      <c r="A246" s="437" t="s">
        <v>280</v>
      </c>
      <c r="B246" s="379" t="s">
        <v>282</v>
      </c>
      <c r="C246" s="380"/>
      <c r="D246" s="381">
        <v>199120</v>
      </c>
      <c r="E246" s="381">
        <v>1</v>
      </c>
    </row>
    <row r="247" spans="1:5">
      <c r="A247" s="437" t="s">
        <v>280</v>
      </c>
      <c r="B247" s="379" t="s">
        <v>283</v>
      </c>
      <c r="C247" s="382"/>
      <c r="D247" s="381">
        <v>199139</v>
      </c>
      <c r="E247" s="381">
        <v>1</v>
      </c>
    </row>
    <row r="248" spans="1:5">
      <c r="A248" s="437" t="s">
        <v>280</v>
      </c>
      <c r="B248" s="379" t="s">
        <v>284</v>
      </c>
      <c r="C248" s="380"/>
      <c r="D248" s="381">
        <v>199148</v>
      </c>
      <c r="E248" s="381">
        <v>1</v>
      </c>
    </row>
    <row r="249" spans="1:5">
      <c r="A249" s="437" t="s">
        <v>280</v>
      </c>
      <c r="B249" s="379" t="s">
        <v>285</v>
      </c>
      <c r="C249" s="382"/>
      <c r="D249" s="381">
        <v>198464</v>
      </c>
      <c r="E249" s="381">
        <v>2</v>
      </c>
    </row>
    <row r="250" spans="1:5">
      <c r="A250" s="437" t="s">
        <v>280</v>
      </c>
      <c r="B250" s="379" t="s">
        <v>286</v>
      </c>
      <c r="C250" s="380"/>
      <c r="D250" s="381">
        <v>197869</v>
      </c>
      <c r="E250" s="381">
        <v>3</v>
      </c>
    </row>
    <row r="251" spans="1:5">
      <c r="A251" s="437" t="s">
        <v>280</v>
      </c>
      <c r="B251" s="379" t="s">
        <v>287</v>
      </c>
      <c r="C251" s="456" t="s">
        <v>914</v>
      </c>
      <c r="D251" s="381">
        <v>199102</v>
      </c>
      <c r="E251" s="381">
        <v>3</v>
      </c>
    </row>
    <row r="252" spans="1:5">
      <c r="A252" s="437" t="s">
        <v>280</v>
      </c>
      <c r="B252" s="379" t="s">
        <v>288</v>
      </c>
      <c r="C252" s="380"/>
      <c r="D252" s="381">
        <v>199157</v>
      </c>
      <c r="E252" s="381">
        <v>3</v>
      </c>
    </row>
    <row r="253" spans="1:5">
      <c r="A253" s="437" t="s">
        <v>280</v>
      </c>
      <c r="B253" s="379" t="s">
        <v>289</v>
      </c>
      <c r="C253" s="380"/>
      <c r="D253" s="381">
        <v>199218</v>
      </c>
      <c r="E253" s="381">
        <v>3</v>
      </c>
    </row>
    <row r="254" spans="1:5">
      <c r="A254" s="437" t="s">
        <v>280</v>
      </c>
      <c r="B254" s="379" t="s">
        <v>290</v>
      </c>
      <c r="C254" s="380"/>
      <c r="D254" s="381">
        <v>200004</v>
      </c>
      <c r="E254" s="381">
        <v>3</v>
      </c>
    </row>
    <row r="255" spans="1:5">
      <c r="A255" s="437" t="s">
        <v>280</v>
      </c>
      <c r="B255" s="379" t="s">
        <v>291</v>
      </c>
      <c r="C255" s="380"/>
      <c r="D255" s="381">
        <v>198543</v>
      </c>
      <c r="E255" s="381">
        <v>4</v>
      </c>
    </row>
    <row r="256" spans="1:5">
      <c r="A256" s="437" t="s">
        <v>280</v>
      </c>
      <c r="B256" s="379" t="s">
        <v>292</v>
      </c>
      <c r="C256" s="380"/>
      <c r="D256" s="381">
        <v>199281</v>
      </c>
      <c r="E256" s="381">
        <v>5</v>
      </c>
    </row>
    <row r="257" spans="1:5">
      <c r="A257" s="437" t="s">
        <v>280</v>
      </c>
      <c r="B257" s="379" t="s">
        <v>293</v>
      </c>
      <c r="C257" s="380"/>
      <c r="D257" s="381">
        <v>199999</v>
      </c>
      <c r="E257" s="381">
        <v>5</v>
      </c>
    </row>
    <row r="258" spans="1:5">
      <c r="A258" s="437" t="s">
        <v>280</v>
      </c>
      <c r="B258" s="379" t="s">
        <v>294</v>
      </c>
      <c r="C258" s="380"/>
      <c r="D258" s="381">
        <v>198507</v>
      </c>
      <c r="E258" s="381">
        <v>6</v>
      </c>
    </row>
    <row r="259" spans="1:5">
      <c r="A259" s="437" t="s">
        <v>280</v>
      </c>
      <c r="B259" s="379" t="s">
        <v>295</v>
      </c>
      <c r="C259" s="380"/>
      <c r="D259" s="381">
        <v>199111</v>
      </c>
      <c r="E259" s="381">
        <v>6</v>
      </c>
    </row>
    <row r="260" spans="1:5">
      <c r="A260" s="437" t="s">
        <v>280</v>
      </c>
      <c r="B260" s="379" t="s">
        <v>714</v>
      </c>
      <c r="C260" s="380"/>
      <c r="D260" s="381">
        <v>199184</v>
      </c>
      <c r="E260" s="381">
        <v>15</v>
      </c>
    </row>
    <row r="261" spans="1:5">
      <c r="A261" s="424" t="s">
        <v>280</v>
      </c>
      <c r="B261" s="355" t="s">
        <v>297</v>
      </c>
      <c r="C261" s="356"/>
      <c r="D261" s="358">
        <v>197887</v>
      </c>
      <c r="E261" s="358">
        <v>8</v>
      </c>
    </row>
    <row r="262" spans="1:5">
      <c r="A262" s="424" t="s">
        <v>280</v>
      </c>
      <c r="B262" s="355" t="s">
        <v>303</v>
      </c>
      <c r="C262" s="356"/>
      <c r="D262" s="358">
        <v>198154</v>
      </c>
      <c r="E262" s="358">
        <v>8</v>
      </c>
    </row>
    <row r="263" spans="1:5">
      <c r="A263" s="424" t="s">
        <v>280</v>
      </c>
      <c r="B263" s="355" t="s">
        <v>307</v>
      </c>
      <c r="C263" s="356"/>
      <c r="D263" s="358">
        <v>198260</v>
      </c>
      <c r="E263" s="358">
        <v>8</v>
      </c>
    </row>
    <row r="264" spans="1:5">
      <c r="A264" s="424" t="s">
        <v>280</v>
      </c>
      <c r="B264" s="355" t="s">
        <v>313</v>
      </c>
      <c r="C264" s="356"/>
      <c r="D264" s="358">
        <v>198534</v>
      </c>
      <c r="E264" s="358">
        <v>8</v>
      </c>
    </row>
    <row r="265" spans="1:5">
      <c r="A265" s="424" t="s">
        <v>280</v>
      </c>
      <c r="B265" s="355" t="s">
        <v>314</v>
      </c>
      <c r="C265" s="356"/>
      <c r="D265" s="358">
        <v>198552</v>
      </c>
      <c r="E265" s="358">
        <v>8</v>
      </c>
    </row>
    <row r="266" spans="1:5">
      <c r="A266" s="424" t="s">
        <v>280</v>
      </c>
      <c r="B266" s="355" t="s">
        <v>316</v>
      </c>
      <c r="C266" s="356"/>
      <c r="D266" s="358">
        <v>198622</v>
      </c>
      <c r="E266" s="358">
        <v>8</v>
      </c>
    </row>
    <row r="267" spans="1:5">
      <c r="A267" s="424" t="s">
        <v>280</v>
      </c>
      <c r="B267" s="355" t="s">
        <v>331</v>
      </c>
      <c r="C267" s="356"/>
      <c r="D267" s="358">
        <v>199333</v>
      </c>
      <c r="E267" s="358">
        <v>8</v>
      </c>
    </row>
    <row r="268" spans="1:5">
      <c r="A268" s="424" t="s">
        <v>280</v>
      </c>
      <c r="B268" s="355" t="s">
        <v>337</v>
      </c>
      <c r="C268" s="356"/>
      <c r="D268" s="358">
        <v>199494</v>
      </c>
      <c r="E268" s="358">
        <v>8</v>
      </c>
    </row>
    <row r="269" spans="1:5">
      <c r="A269" s="424" t="s">
        <v>280</v>
      </c>
      <c r="B269" s="355" t="s">
        <v>347</v>
      </c>
      <c r="C269" s="356"/>
      <c r="D269" s="358">
        <v>199856</v>
      </c>
      <c r="E269" s="358">
        <v>8</v>
      </c>
    </row>
    <row r="270" spans="1:5">
      <c r="A270" s="424" t="s">
        <v>280</v>
      </c>
      <c r="B270" s="355" t="s">
        <v>296</v>
      </c>
      <c r="C270" s="356"/>
      <c r="D270" s="358">
        <v>199786</v>
      </c>
      <c r="E270" s="358">
        <v>9</v>
      </c>
    </row>
    <row r="271" spans="1:5">
      <c r="A271" s="424" t="s">
        <v>280</v>
      </c>
      <c r="B271" s="355" t="s">
        <v>302</v>
      </c>
      <c r="C271" s="356"/>
      <c r="D271" s="358">
        <v>198118</v>
      </c>
      <c r="E271" s="358">
        <v>9</v>
      </c>
    </row>
    <row r="272" spans="1:5">
      <c r="A272" s="424" t="s">
        <v>280</v>
      </c>
      <c r="B272" s="355" t="s">
        <v>305</v>
      </c>
      <c r="C272" s="356"/>
      <c r="D272" s="358">
        <v>198233</v>
      </c>
      <c r="E272" s="358">
        <v>9</v>
      </c>
    </row>
    <row r="273" spans="1:5">
      <c r="A273" s="424" t="s">
        <v>280</v>
      </c>
      <c r="B273" s="355" t="s">
        <v>306</v>
      </c>
      <c r="C273" s="356"/>
      <c r="D273" s="358">
        <v>198251</v>
      </c>
      <c r="E273" s="358">
        <v>9</v>
      </c>
    </row>
    <row r="274" spans="1:5">
      <c r="A274" s="424" t="s">
        <v>280</v>
      </c>
      <c r="B274" s="355" t="s">
        <v>308</v>
      </c>
      <c r="C274" s="356"/>
      <c r="D274" s="358">
        <v>198321</v>
      </c>
      <c r="E274" s="358">
        <v>9</v>
      </c>
    </row>
    <row r="275" spans="1:5">
      <c r="A275" s="424" t="s">
        <v>280</v>
      </c>
      <c r="B275" s="355" t="s">
        <v>309</v>
      </c>
      <c r="C275" s="356"/>
      <c r="D275" s="358">
        <v>198330</v>
      </c>
      <c r="E275" s="358">
        <v>9</v>
      </c>
    </row>
    <row r="276" spans="1:5">
      <c r="A276" s="424" t="s">
        <v>280</v>
      </c>
      <c r="B276" s="355" t="s">
        <v>310</v>
      </c>
      <c r="C276" s="356"/>
      <c r="D276" s="358">
        <v>198367</v>
      </c>
      <c r="E276" s="358">
        <v>9</v>
      </c>
    </row>
    <row r="277" spans="1:5">
      <c r="A277" s="424" t="s">
        <v>280</v>
      </c>
      <c r="B277" s="355" t="s">
        <v>766</v>
      </c>
      <c r="C277" s="356"/>
      <c r="D277" s="358">
        <v>198376</v>
      </c>
      <c r="E277" s="358">
        <v>9</v>
      </c>
    </row>
    <row r="278" spans="1:5">
      <c r="A278" s="424" t="s">
        <v>280</v>
      </c>
      <c r="B278" s="355" t="s">
        <v>311</v>
      </c>
      <c r="C278" s="356"/>
      <c r="D278" s="358">
        <v>198455</v>
      </c>
      <c r="E278" s="358">
        <v>9</v>
      </c>
    </row>
    <row r="279" spans="1:5">
      <c r="A279" s="424" t="s">
        <v>280</v>
      </c>
      <c r="B279" s="355" t="s">
        <v>315</v>
      </c>
      <c r="C279" s="356"/>
      <c r="D279" s="358">
        <v>198570</v>
      </c>
      <c r="E279" s="358">
        <v>9</v>
      </c>
    </row>
    <row r="280" spans="1:5">
      <c r="A280" s="424" t="s">
        <v>280</v>
      </c>
      <c r="B280" s="355" t="s">
        <v>321</v>
      </c>
      <c r="C280" s="356"/>
      <c r="D280" s="358">
        <v>198774</v>
      </c>
      <c r="E280" s="358">
        <v>9</v>
      </c>
    </row>
    <row r="281" spans="1:5">
      <c r="A281" s="424" t="s">
        <v>280</v>
      </c>
      <c r="B281" s="355" t="s">
        <v>322</v>
      </c>
      <c r="C281" s="356"/>
      <c r="D281" s="358">
        <v>198817</v>
      </c>
      <c r="E281" s="358">
        <v>9</v>
      </c>
    </row>
    <row r="282" spans="1:5">
      <c r="A282" s="424" t="s">
        <v>280</v>
      </c>
      <c r="B282" s="355" t="s">
        <v>326</v>
      </c>
      <c r="C282" s="356"/>
      <c r="D282" s="358">
        <v>198987</v>
      </c>
      <c r="E282" s="358">
        <v>9</v>
      </c>
    </row>
    <row r="283" spans="1:5">
      <c r="A283" s="424" t="s">
        <v>280</v>
      </c>
      <c r="B283" s="355" t="s">
        <v>328</v>
      </c>
      <c r="C283" s="356"/>
      <c r="D283" s="358">
        <v>199087</v>
      </c>
      <c r="E283" s="358">
        <v>9</v>
      </c>
    </row>
    <row r="284" spans="1:5">
      <c r="A284" s="424" t="s">
        <v>280</v>
      </c>
      <c r="B284" s="355" t="s">
        <v>332</v>
      </c>
      <c r="C284" s="356"/>
      <c r="D284" s="358">
        <v>199421</v>
      </c>
      <c r="E284" s="358">
        <v>9</v>
      </c>
    </row>
    <row r="285" spans="1:5">
      <c r="A285" s="424" t="s">
        <v>280</v>
      </c>
      <c r="B285" s="355" t="s">
        <v>333</v>
      </c>
      <c r="C285" s="360"/>
      <c r="D285" s="358">
        <v>199449</v>
      </c>
      <c r="E285" s="358">
        <v>9</v>
      </c>
    </row>
    <row r="286" spans="1:5">
      <c r="A286" s="424" t="s">
        <v>280</v>
      </c>
      <c r="B286" s="355" t="s">
        <v>339</v>
      </c>
      <c r="C286" s="356"/>
      <c r="D286" s="358">
        <v>199634</v>
      </c>
      <c r="E286" s="358">
        <v>9</v>
      </c>
    </row>
    <row r="287" spans="1:5">
      <c r="A287" s="424" t="s">
        <v>280</v>
      </c>
      <c r="B287" s="355" t="s">
        <v>340</v>
      </c>
      <c r="C287" s="360"/>
      <c r="D287" s="358">
        <v>197850</v>
      </c>
      <c r="E287" s="358">
        <v>9</v>
      </c>
    </row>
    <row r="288" spans="1:5">
      <c r="A288" s="424" t="s">
        <v>280</v>
      </c>
      <c r="B288" s="355" t="s">
        <v>343</v>
      </c>
      <c r="C288" s="356"/>
      <c r="D288" s="358">
        <v>199740</v>
      </c>
      <c r="E288" s="358">
        <v>9</v>
      </c>
    </row>
    <row r="289" spans="1:5">
      <c r="A289" s="424" t="s">
        <v>280</v>
      </c>
      <c r="B289" s="355" t="s">
        <v>344</v>
      </c>
      <c r="C289" s="356"/>
      <c r="D289" s="358">
        <v>199768</v>
      </c>
      <c r="E289" s="358">
        <v>9</v>
      </c>
    </row>
    <row r="290" spans="1:5">
      <c r="A290" s="424" t="s">
        <v>280</v>
      </c>
      <c r="B290" s="355" t="s">
        <v>346</v>
      </c>
      <c r="C290" s="356"/>
      <c r="D290" s="358">
        <v>199838</v>
      </c>
      <c r="E290" s="358">
        <v>9</v>
      </c>
    </row>
    <row r="291" spans="1:5">
      <c r="A291" s="424" t="s">
        <v>280</v>
      </c>
      <c r="B291" s="355" t="s">
        <v>348</v>
      </c>
      <c r="C291" s="356"/>
      <c r="D291" s="358">
        <v>199892</v>
      </c>
      <c r="E291" s="358">
        <v>9</v>
      </c>
    </row>
    <row r="292" spans="1:5">
      <c r="A292" s="424" t="s">
        <v>280</v>
      </c>
      <c r="B292" s="355" t="s">
        <v>350</v>
      </c>
      <c r="C292" s="356"/>
      <c r="D292" s="358">
        <v>199926</v>
      </c>
      <c r="E292" s="358">
        <v>9</v>
      </c>
    </row>
    <row r="293" spans="1:5">
      <c r="A293" s="424" t="s">
        <v>280</v>
      </c>
      <c r="B293" s="355" t="s">
        <v>298</v>
      </c>
      <c r="C293" s="356"/>
      <c r="D293" s="358">
        <v>197966</v>
      </c>
      <c r="E293" s="358">
        <v>10</v>
      </c>
    </row>
    <row r="294" spans="1:5">
      <c r="A294" s="424" t="s">
        <v>280</v>
      </c>
      <c r="B294" s="355" t="s">
        <v>299</v>
      </c>
      <c r="C294" s="356"/>
      <c r="D294" s="358">
        <v>198011</v>
      </c>
      <c r="E294" s="358">
        <v>10</v>
      </c>
    </row>
    <row r="295" spans="1:5">
      <c r="A295" s="424" t="s">
        <v>280</v>
      </c>
      <c r="B295" s="355" t="s">
        <v>300</v>
      </c>
      <c r="C295" s="356"/>
      <c r="D295" s="358">
        <v>198039</v>
      </c>
      <c r="E295" s="358">
        <v>10</v>
      </c>
    </row>
    <row r="296" spans="1:5">
      <c r="A296" s="424" t="s">
        <v>280</v>
      </c>
      <c r="B296" s="355" t="s">
        <v>301</v>
      </c>
      <c r="C296" s="356"/>
      <c r="D296" s="358">
        <v>198084</v>
      </c>
      <c r="E296" s="358">
        <v>10</v>
      </c>
    </row>
    <row r="297" spans="1:5">
      <c r="A297" s="424" t="s">
        <v>280</v>
      </c>
      <c r="B297" s="355" t="s">
        <v>304</v>
      </c>
      <c r="C297" s="356"/>
      <c r="D297" s="358">
        <v>198206</v>
      </c>
      <c r="E297" s="358">
        <v>10</v>
      </c>
    </row>
    <row r="298" spans="1:5">
      <c r="A298" s="424" t="s">
        <v>280</v>
      </c>
      <c r="B298" s="355" t="s">
        <v>767</v>
      </c>
      <c r="C298" s="356" t="s">
        <v>733</v>
      </c>
      <c r="D298" s="358">
        <v>197814</v>
      </c>
      <c r="E298" s="358">
        <v>10</v>
      </c>
    </row>
    <row r="299" spans="1:5">
      <c r="A299" s="424" t="s">
        <v>280</v>
      </c>
      <c r="B299" s="355" t="s">
        <v>312</v>
      </c>
      <c r="C299" s="360"/>
      <c r="D299" s="358">
        <v>198491</v>
      </c>
      <c r="E299" s="358">
        <v>10</v>
      </c>
    </row>
    <row r="300" spans="1:5">
      <c r="A300" s="424" t="s">
        <v>280</v>
      </c>
      <c r="B300" s="355" t="s">
        <v>317</v>
      </c>
      <c r="C300" s="356"/>
      <c r="D300" s="358">
        <v>198640</v>
      </c>
      <c r="E300" s="358">
        <v>10</v>
      </c>
    </row>
    <row r="301" spans="1:5">
      <c r="A301" s="424" t="s">
        <v>280</v>
      </c>
      <c r="B301" s="355" t="s">
        <v>318</v>
      </c>
      <c r="C301" s="360"/>
      <c r="D301" s="358">
        <v>198668</v>
      </c>
      <c r="E301" s="358">
        <v>10</v>
      </c>
    </row>
    <row r="302" spans="1:5">
      <c r="A302" s="424" t="s">
        <v>280</v>
      </c>
      <c r="B302" s="355" t="s">
        <v>319</v>
      </c>
      <c r="C302" s="360"/>
      <c r="D302" s="358">
        <v>198710</v>
      </c>
      <c r="E302" s="358">
        <v>10</v>
      </c>
    </row>
    <row r="303" spans="1:5">
      <c r="A303" s="424" t="s">
        <v>280</v>
      </c>
      <c r="B303" s="355" t="s">
        <v>320</v>
      </c>
      <c r="C303" s="356"/>
      <c r="D303" s="358">
        <v>198729</v>
      </c>
      <c r="E303" s="358">
        <v>10</v>
      </c>
    </row>
    <row r="304" spans="1:5">
      <c r="A304" s="424" t="s">
        <v>280</v>
      </c>
      <c r="B304" s="355" t="s">
        <v>323</v>
      </c>
      <c r="C304" s="356"/>
      <c r="D304" s="358">
        <v>198905</v>
      </c>
      <c r="E304" s="358">
        <v>10</v>
      </c>
    </row>
    <row r="305" spans="1:5">
      <c r="A305" s="424" t="s">
        <v>280</v>
      </c>
      <c r="B305" s="355" t="s">
        <v>324</v>
      </c>
      <c r="C305" s="356"/>
      <c r="D305" s="358">
        <v>198914</v>
      </c>
      <c r="E305" s="358">
        <v>10</v>
      </c>
    </row>
    <row r="306" spans="1:5">
      <c r="A306" s="424" t="s">
        <v>280</v>
      </c>
      <c r="B306" s="355" t="s">
        <v>325</v>
      </c>
      <c r="C306" s="356"/>
      <c r="D306" s="358">
        <v>198923</v>
      </c>
      <c r="E306" s="358">
        <v>10</v>
      </c>
    </row>
    <row r="307" spans="1:5">
      <c r="A307" s="424" t="s">
        <v>280</v>
      </c>
      <c r="B307" s="355" t="s">
        <v>327</v>
      </c>
      <c r="C307" s="356"/>
      <c r="D307" s="358">
        <v>199023</v>
      </c>
      <c r="E307" s="358">
        <v>10</v>
      </c>
    </row>
    <row r="308" spans="1:5">
      <c r="A308" s="424" t="s">
        <v>280</v>
      </c>
      <c r="B308" s="355" t="s">
        <v>329</v>
      </c>
      <c r="C308" s="356"/>
      <c r="D308" s="358">
        <v>199263</v>
      </c>
      <c r="E308" s="358">
        <v>10</v>
      </c>
    </row>
    <row r="309" spans="1:5">
      <c r="A309" s="424" t="s">
        <v>280</v>
      </c>
      <c r="B309" s="355" t="s">
        <v>330</v>
      </c>
      <c r="C309" s="356"/>
      <c r="D309" s="358">
        <v>199324</v>
      </c>
      <c r="E309" s="358">
        <v>10</v>
      </c>
    </row>
    <row r="310" spans="1:5">
      <c r="A310" s="424" t="s">
        <v>280</v>
      </c>
      <c r="B310" s="355" t="s">
        <v>334</v>
      </c>
      <c r="C310" s="356"/>
      <c r="D310" s="358">
        <v>199467</v>
      </c>
      <c r="E310" s="358">
        <v>10</v>
      </c>
    </row>
    <row r="311" spans="1:5">
      <c r="A311" s="424" t="s">
        <v>280</v>
      </c>
      <c r="B311" s="355" t="s">
        <v>335</v>
      </c>
      <c r="C311" s="457" t="s">
        <v>910</v>
      </c>
      <c r="D311" s="358">
        <v>199476</v>
      </c>
      <c r="E311" s="358">
        <v>10</v>
      </c>
    </row>
    <row r="312" spans="1:5">
      <c r="A312" s="424" t="s">
        <v>280</v>
      </c>
      <c r="B312" s="355" t="s">
        <v>336</v>
      </c>
      <c r="C312" s="356"/>
      <c r="D312" s="358">
        <v>199485</v>
      </c>
      <c r="E312" s="358">
        <v>10</v>
      </c>
    </row>
    <row r="313" spans="1:5">
      <c r="A313" s="424" t="s">
        <v>280</v>
      </c>
      <c r="B313" s="355" t="s">
        <v>338</v>
      </c>
      <c r="C313" s="356"/>
      <c r="D313" s="358">
        <v>199625</v>
      </c>
      <c r="E313" s="358">
        <v>10</v>
      </c>
    </row>
    <row r="314" spans="1:5">
      <c r="A314" s="424" t="s">
        <v>280</v>
      </c>
      <c r="B314" s="355" t="s">
        <v>341</v>
      </c>
      <c r="C314" s="356"/>
      <c r="D314" s="358">
        <v>199722</v>
      </c>
      <c r="E314" s="358">
        <v>10</v>
      </c>
    </row>
    <row r="315" spans="1:5">
      <c r="A315" s="424" t="s">
        <v>280</v>
      </c>
      <c r="B315" s="355" t="s">
        <v>342</v>
      </c>
      <c r="C315" s="356"/>
      <c r="D315" s="358">
        <v>199731</v>
      </c>
      <c r="E315" s="358">
        <v>10</v>
      </c>
    </row>
    <row r="316" spans="1:5">
      <c r="A316" s="424" t="s">
        <v>280</v>
      </c>
      <c r="B316" s="355" t="s">
        <v>345</v>
      </c>
      <c r="C316" s="356"/>
      <c r="D316" s="358">
        <v>199795</v>
      </c>
      <c r="E316" s="358">
        <v>10</v>
      </c>
    </row>
    <row r="317" spans="1:5">
      <c r="A317" s="424" t="s">
        <v>280</v>
      </c>
      <c r="B317" s="355" t="s">
        <v>349</v>
      </c>
      <c r="C317" s="360"/>
      <c r="D317" s="358">
        <v>199908</v>
      </c>
      <c r="E317" s="358">
        <v>10</v>
      </c>
    </row>
    <row r="318" spans="1:5">
      <c r="A318" s="424" t="s">
        <v>280</v>
      </c>
      <c r="B318" s="355" t="s">
        <v>351</v>
      </c>
      <c r="C318" s="356"/>
      <c r="D318" s="358">
        <v>199953</v>
      </c>
      <c r="E318" s="358">
        <v>10</v>
      </c>
    </row>
    <row r="319" spans="1:5">
      <c r="A319" s="50" t="s">
        <v>352</v>
      </c>
      <c r="B319" s="49"/>
      <c r="C319" s="1"/>
      <c r="D319" s="37"/>
      <c r="E319" s="37"/>
    </row>
    <row r="320" spans="1:5">
      <c r="A320" s="383" t="s">
        <v>353</v>
      </c>
      <c r="B320" s="366" t="s">
        <v>354</v>
      </c>
      <c r="C320" s="367"/>
      <c r="D320" s="368">
        <v>217882</v>
      </c>
      <c r="E320" s="368">
        <v>1</v>
      </c>
    </row>
    <row r="321" spans="1:5">
      <c r="A321" s="383" t="s">
        <v>353</v>
      </c>
      <c r="B321" s="366" t="s">
        <v>355</v>
      </c>
      <c r="C321" s="367"/>
      <c r="D321" s="368">
        <v>218663</v>
      </c>
      <c r="E321" s="368">
        <v>1</v>
      </c>
    </row>
    <row r="322" spans="1:5">
      <c r="A322" s="383" t="s">
        <v>353</v>
      </c>
      <c r="B322" s="366" t="s">
        <v>356</v>
      </c>
      <c r="C322" s="367"/>
      <c r="D322" s="368">
        <v>217819</v>
      </c>
      <c r="E322" s="368">
        <v>3</v>
      </c>
    </row>
    <row r="323" spans="1:5">
      <c r="A323" s="383" t="s">
        <v>353</v>
      </c>
      <c r="B323" s="366" t="s">
        <v>357</v>
      </c>
      <c r="C323" s="369"/>
      <c r="D323" s="368">
        <v>217864</v>
      </c>
      <c r="E323" s="368">
        <v>3</v>
      </c>
    </row>
    <row r="324" spans="1:5">
      <c r="A324" s="383" t="s">
        <v>353</v>
      </c>
      <c r="B324" s="366" t="s">
        <v>358</v>
      </c>
      <c r="C324" s="367"/>
      <c r="D324" s="368">
        <v>218964</v>
      </c>
      <c r="E324" s="368">
        <v>3</v>
      </c>
    </row>
    <row r="325" spans="1:5">
      <c r="A325" s="383" t="s">
        <v>353</v>
      </c>
      <c r="B325" s="366" t="s">
        <v>359</v>
      </c>
      <c r="C325" s="384"/>
      <c r="D325" s="368">
        <v>218724</v>
      </c>
      <c r="E325" s="368">
        <v>4</v>
      </c>
    </row>
    <row r="326" spans="1:5">
      <c r="A326" s="383" t="s">
        <v>353</v>
      </c>
      <c r="B326" s="366" t="s">
        <v>360</v>
      </c>
      <c r="C326" s="385"/>
      <c r="D326" s="368">
        <v>218061</v>
      </c>
      <c r="E326" s="368">
        <v>5</v>
      </c>
    </row>
    <row r="327" spans="1:5">
      <c r="A327" s="383" t="s">
        <v>353</v>
      </c>
      <c r="B327" s="366" t="s">
        <v>361</v>
      </c>
      <c r="C327" s="385"/>
      <c r="D327" s="368">
        <v>218733</v>
      </c>
      <c r="E327" s="368">
        <v>5</v>
      </c>
    </row>
    <row r="328" spans="1:5">
      <c r="A328" s="383" t="s">
        <v>353</v>
      </c>
      <c r="B328" s="366" t="s">
        <v>362</v>
      </c>
      <c r="C328" s="385" t="s">
        <v>716</v>
      </c>
      <c r="D328" s="368">
        <v>218229</v>
      </c>
      <c r="E328" s="368">
        <v>6</v>
      </c>
    </row>
    <row r="329" spans="1:5">
      <c r="A329" s="383" t="s">
        <v>353</v>
      </c>
      <c r="B329" s="366" t="s">
        <v>363</v>
      </c>
      <c r="C329" s="460" t="s">
        <v>908</v>
      </c>
      <c r="D329" s="368">
        <v>218645</v>
      </c>
      <c r="E329" s="368">
        <v>6</v>
      </c>
    </row>
    <row r="330" spans="1:5">
      <c r="A330" s="383" t="s">
        <v>353</v>
      </c>
      <c r="B330" s="366" t="s">
        <v>364</v>
      </c>
      <c r="C330" s="385"/>
      <c r="D330" s="368">
        <v>218654</v>
      </c>
      <c r="E330" s="368">
        <v>6</v>
      </c>
    </row>
    <row r="331" spans="1:5">
      <c r="A331" s="383" t="s">
        <v>353</v>
      </c>
      <c r="B331" s="366" t="s">
        <v>365</v>
      </c>
      <c r="C331" s="385"/>
      <c r="D331" s="368">
        <v>218742</v>
      </c>
      <c r="E331" s="368">
        <v>6</v>
      </c>
    </row>
    <row r="332" spans="1:5">
      <c r="A332" s="383" t="s">
        <v>353</v>
      </c>
      <c r="B332" s="366" t="s">
        <v>367</v>
      </c>
      <c r="C332" s="385"/>
      <c r="D332" s="368">
        <v>218113</v>
      </c>
      <c r="E332" s="368">
        <v>8</v>
      </c>
    </row>
    <row r="333" spans="1:5">
      <c r="A333" s="383" t="s">
        <v>353</v>
      </c>
      <c r="B333" s="366" t="s">
        <v>368</v>
      </c>
      <c r="C333" s="460" t="s">
        <v>910</v>
      </c>
      <c r="D333" s="368">
        <v>218140</v>
      </c>
      <c r="E333" s="368">
        <v>8</v>
      </c>
    </row>
    <row r="334" spans="1:5">
      <c r="A334" s="383" t="s">
        <v>353</v>
      </c>
      <c r="B334" s="366" t="s">
        <v>369</v>
      </c>
      <c r="C334" s="385"/>
      <c r="D334" s="368">
        <v>218353</v>
      </c>
      <c r="E334" s="368">
        <v>8</v>
      </c>
    </row>
    <row r="335" spans="1:5">
      <c r="A335" s="383" t="s">
        <v>353</v>
      </c>
      <c r="B335" s="366" t="s">
        <v>372</v>
      </c>
      <c r="C335" s="385"/>
      <c r="D335" s="368">
        <v>218894</v>
      </c>
      <c r="E335" s="368">
        <v>8</v>
      </c>
    </row>
    <row r="336" spans="1:5">
      <c r="A336" s="383" t="s">
        <v>353</v>
      </c>
      <c r="B336" s="366" t="s">
        <v>374</v>
      </c>
      <c r="C336" s="385"/>
      <c r="D336" s="368">
        <v>218858</v>
      </c>
      <c r="E336" s="368">
        <v>9</v>
      </c>
    </row>
    <row r="337" spans="1:5">
      <c r="A337" s="383" t="s">
        <v>353</v>
      </c>
      <c r="B337" s="366" t="s">
        <v>366</v>
      </c>
      <c r="C337" s="384"/>
      <c r="D337" s="368">
        <v>218025</v>
      </c>
      <c r="E337" s="368">
        <v>9</v>
      </c>
    </row>
    <row r="338" spans="1:5">
      <c r="A338" s="383" t="s">
        <v>353</v>
      </c>
      <c r="B338" s="366" t="s">
        <v>370</v>
      </c>
      <c r="C338" s="384"/>
      <c r="D338" s="368">
        <v>218520</v>
      </c>
      <c r="E338" s="368">
        <v>9</v>
      </c>
    </row>
    <row r="339" spans="1:5">
      <c r="A339" s="383" t="s">
        <v>353</v>
      </c>
      <c r="B339" s="366" t="s">
        <v>376</v>
      </c>
      <c r="C339" s="385"/>
      <c r="D339" s="368">
        <v>218830</v>
      </c>
      <c r="E339" s="368">
        <v>9</v>
      </c>
    </row>
    <row r="340" spans="1:5">
      <c r="A340" s="383" t="s">
        <v>353</v>
      </c>
      <c r="B340" s="366" t="s">
        <v>371</v>
      </c>
      <c r="C340" s="384"/>
      <c r="D340" s="368">
        <v>218885</v>
      </c>
      <c r="E340" s="368">
        <v>9</v>
      </c>
    </row>
    <row r="341" spans="1:5">
      <c r="A341" s="383" t="s">
        <v>353</v>
      </c>
      <c r="B341" s="366" t="s">
        <v>377</v>
      </c>
      <c r="C341" s="385"/>
      <c r="D341" s="368">
        <v>218991</v>
      </c>
      <c r="E341" s="368">
        <v>9</v>
      </c>
    </row>
    <row r="342" spans="1:5">
      <c r="A342" s="383" t="s">
        <v>353</v>
      </c>
      <c r="B342" s="366" t="s">
        <v>373</v>
      </c>
      <c r="C342" s="384"/>
      <c r="D342" s="368">
        <v>217615</v>
      </c>
      <c r="E342" s="368">
        <v>10</v>
      </c>
    </row>
    <row r="343" spans="1:5">
      <c r="A343" s="383" t="s">
        <v>353</v>
      </c>
      <c r="B343" s="366" t="s">
        <v>378</v>
      </c>
      <c r="C343" s="367"/>
      <c r="D343" s="368">
        <v>217989</v>
      </c>
      <c r="E343" s="368">
        <v>10</v>
      </c>
    </row>
    <row r="344" spans="1:5">
      <c r="A344" s="383" t="s">
        <v>353</v>
      </c>
      <c r="B344" s="366" t="s">
        <v>379</v>
      </c>
      <c r="C344" s="367"/>
      <c r="D344" s="368">
        <v>217837</v>
      </c>
      <c r="E344" s="368">
        <v>10</v>
      </c>
    </row>
    <row r="345" spans="1:5">
      <c r="A345" s="383" t="s">
        <v>353</v>
      </c>
      <c r="B345" s="366" t="s">
        <v>375</v>
      </c>
      <c r="C345" s="384"/>
      <c r="D345" s="368">
        <v>218487</v>
      </c>
      <c r="E345" s="368">
        <v>10</v>
      </c>
    </row>
    <row r="346" spans="1:5">
      <c r="A346" s="383" t="s">
        <v>353</v>
      </c>
      <c r="B346" s="366" t="s">
        <v>380</v>
      </c>
      <c r="C346" s="367"/>
      <c r="D346" s="368">
        <v>217712</v>
      </c>
      <c r="E346" s="368">
        <v>10</v>
      </c>
    </row>
    <row r="347" spans="1:5">
      <c r="A347" s="383" t="s">
        <v>353</v>
      </c>
      <c r="B347" s="366" t="s">
        <v>381</v>
      </c>
      <c r="C347" s="367"/>
      <c r="D347" s="368">
        <v>218672</v>
      </c>
      <c r="E347" s="368">
        <v>10</v>
      </c>
    </row>
    <row r="348" spans="1:5">
      <c r="A348" s="383" t="s">
        <v>353</v>
      </c>
      <c r="B348" s="366" t="s">
        <v>382</v>
      </c>
      <c r="C348" s="367"/>
      <c r="D348" s="368">
        <v>218681</v>
      </c>
      <c r="E348" s="368">
        <v>10</v>
      </c>
    </row>
    <row r="349" spans="1:5">
      <c r="A349" s="383" t="s">
        <v>353</v>
      </c>
      <c r="B349" s="366" t="s">
        <v>383</v>
      </c>
      <c r="C349" s="385"/>
      <c r="D349" s="368">
        <v>218690</v>
      </c>
      <c r="E349" s="368">
        <v>10</v>
      </c>
    </row>
    <row r="350" spans="1:5">
      <c r="A350" s="383" t="s">
        <v>353</v>
      </c>
      <c r="B350" s="366" t="s">
        <v>384</v>
      </c>
      <c r="C350" s="385"/>
      <c r="D350" s="368">
        <v>218706</v>
      </c>
      <c r="E350" s="368">
        <v>10</v>
      </c>
    </row>
    <row r="351" spans="1:5">
      <c r="A351" s="383" t="s">
        <v>353</v>
      </c>
      <c r="B351" s="370" t="s">
        <v>734</v>
      </c>
      <c r="C351" s="385"/>
      <c r="D351" s="368">
        <v>218955</v>
      </c>
      <c r="E351" s="368">
        <v>10</v>
      </c>
    </row>
    <row r="352" spans="1:5">
      <c r="A352" s="346" t="s">
        <v>385</v>
      </c>
      <c r="B352" s="347" t="s">
        <v>386</v>
      </c>
      <c r="C352" s="348"/>
      <c r="D352" s="346">
        <v>220862</v>
      </c>
      <c r="E352" s="346">
        <v>1</v>
      </c>
    </row>
    <row r="353" spans="1:5">
      <c r="A353" s="423" t="s">
        <v>385</v>
      </c>
      <c r="B353" s="347" t="s">
        <v>387</v>
      </c>
      <c r="C353" s="349"/>
      <c r="D353" s="346">
        <v>221759</v>
      </c>
      <c r="E353" s="346">
        <v>1</v>
      </c>
    </row>
    <row r="354" spans="1:5">
      <c r="A354" s="423" t="s">
        <v>385</v>
      </c>
      <c r="B354" s="347" t="s">
        <v>388</v>
      </c>
      <c r="C354" s="348"/>
      <c r="D354" s="346">
        <v>220075</v>
      </c>
      <c r="E354" s="346">
        <v>2</v>
      </c>
    </row>
    <row r="355" spans="1:5">
      <c r="A355" s="346" t="s">
        <v>385</v>
      </c>
      <c r="B355" s="347" t="s">
        <v>391</v>
      </c>
      <c r="C355" s="386"/>
      <c r="D355" s="346">
        <v>220978</v>
      </c>
      <c r="E355" s="346">
        <v>2</v>
      </c>
    </row>
    <row r="356" spans="1:5">
      <c r="A356" s="423" t="s">
        <v>385</v>
      </c>
      <c r="B356" s="347" t="s">
        <v>389</v>
      </c>
      <c r="C356" s="348"/>
      <c r="D356" s="346">
        <v>221838</v>
      </c>
      <c r="E356" s="346">
        <v>2</v>
      </c>
    </row>
    <row r="357" spans="1:5">
      <c r="A357" s="423" t="s">
        <v>385</v>
      </c>
      <c r="B357" s="347" t="s">
        <v>390</v>
      </c>
      <c r="C357" s="349"/>
      <c r="D357" s="346">
        <v>219602</v>
      </c>
      <c r="E357" s="346">
        <v>3</v>
      </c>
    </row>
    <row r="358" spans="1:5">
      <c r="A358" s="346" t="s">
        <v>385</v>
      </c>
      <c r="B358" s="347" t="s">
        <v>392</v>
      </c>
      <c r="C358" s="387"/>
      <c r="D358" s="346">
        <v>221847</v>
      </c>
      <c r="E358" s="346">
        <v>3</v>
      </c>
    </row>
    <row r="359" spans="1:5">
      <c r="A359" s="423" t="s">
        <v>385</v>
      </c>
      <c r="B359" s="347" t="s">
        <v>393</v>
      </c>
      <c r="C359" s="387"/>
      <c r="D359" s="346">
        <v>221740</v>
      </c>
      <c r="E359" s="346">
        <v>3</v>
      </c>
    </row>
    <row r="360" spans="1:5">
      <c r="A360" s="423" t="s">
        <v>385</v>
      </c>
      <c r="B360" s="347" t="s">
        <v>394</v>
      </c>
      <c r="C360" s="438" t="s">
        <v>899</v>
      </c>
      <c r="D360" s="439">
        <v>221768</v>
      </c>
      <c r="E360" s="440">
        <v>4</v>
      </c>
    </row>
    <row r="361" spans="1:5">
      <c r="A361" s="346" t="s">
        <v>385</v>
      </c>
      <c r="B361" s="347" t="s">
        <v>395</v>
      </c>
      <c r="C361" s="387"/>
      <c r="D361" s="346">
        <v>219824</v>
      </c>
      <c r="E361" s="346">
        <v>8</v>
      </c>
    </row>
    <row r="362" spans="1:5">
      <c r="A362" s="423" t="s">
        <v>385</v>
      </c>
      <c r="B362" s="347" t="s">
        <v>396</v>
      </c>
      <c r="C362" s="387"/>
      <c r="D362" s="346">
        <v>221184</v>
      </c>
      <c r="E362" s="346">
        <v>8</v>
      </c>
    </row>
    <row r="363" spans="1:5">
      <c r="A363" s="423" t="s">
        <v>385</v>
      </c>
      <c r="B363" s="347" t="s">
        <v>397</v>
      </c>
      <c r="C363" s="387"/>
      <c r="D363" s="346">
        <v>221643</v>
      </c>
      <c r="E363" s="346">
        <v>8</v>
      </c>
    </row>
    <row r="364" spans="1:5">
      <c r="A364" s="346" t="s">
        <v>385</v>
      </c>
      <c r="B364" s="347" t="s">
        <v>398</v>
      </c>
      <c r="C364" s="387"/>
      <c r="D364" s="346">
        <v>221485</v>
      </c>
      <c r="E364" s="346">
        <v>8</v>
      </c>
    </row>
    <row r="365" spans="1:5">
      <c r="A365" s="423" t="s">
        <v>385</v>
      </c>
      <c r="B365" s="347" t="s">
        <v>399</v>
      </c>
      <c r="C365" s="387"/>
      <c r="D365" s="346">
        <v>222053</v>
      </c>
      <c r="E365" s="346">
        <v>8</v>
      </c>
    </row>
    <row r="366" spans="1:5">
      <c r="A366" s="423" t="s">
        <v>385</v>
      </c>
      <c r="B366" s="347" t="s">
        <v>400</v>
      </c>
      <c r="C366" s="387"/>
      <c r="D366" s="346">
        <v>219879</v>
      </c>
      <c r="E366" s="346">
        <v>9</v>
      </c>
    </row>
    <row r="367" spans="1:5">
      <c r="A367" s="346" t="s">
        <v>385</v>
      </c>
      <c r="B367" s="347" t="s">
        <v>401</v>
      </c>
      <c r="C367" s="387"/>
      <c r="D367" s="346">
        <v>219888</v>
      </c>
      <c r="E367" s="346">
        <v>9</v>
      </c>
    </row>
    <row r="368" spans="1:5">
      <c r="A368" s="423" t="s">
        <v>385</v>
      </c>
      <c r="B368" s="347" t="s">
        <v>403</v>
      </c>
      <c r="C368" s="387"/>
      <c r="D368" s="346">
        <v>220400</v>
      </c>
      <c r="E368" s="346">
        <v>9</v>
      </c>
    </row>
    <row r="369" spans="1:5">
      <c r="A369" s="423" t="s">
        <v>385</v>
      </c>
      <c r="B369" s="347" t="s">
        <v>404</v>
      </c>
      <c r="C369" s="387"/>
      <c r="D369" s="346">
        <v>221096</v>
      </c>
      <c r="E369" s="346">
        <v>9</v>
      </c>
    </row>
    <row r="370" spans="1:5">
      <c r="A370" s="346" t="s">
        <v>385</v>
      </c>
      <c r="B370" s="347" t="s">
        <v>405</v>
      </c>
      <c r="C370" s="387"/>
      <c r="D370" s="346">
        <v>221908</v>
      </c>
      <c r="E370" s="346">
        <v>9</v>
      </c>
    </row>
    <row r="371" spans="1:5">
      <c r="A371" s="423" t="s">
        <v>385</v>
      </c>
      <c r="B371" s="347" t="s">
        <v>406</v>
      </c>
      <c r="C371" s="387"/>
      <c r="D371" s="346">
        <v>221397</v>
      </c>
      <c r="E371" s="346">
        <v>9</v>
      </c>
    </row>
    <row r="372" spans="1:5">
      <c r="A372" s="423" t="s">
        <v>385</v>
      </c>
      <c r="B372" s="347" t="s">
        <v>407</v>
      </c>
      <c r="C372" s="387"/>
      <c r="D372" s="346">
        <v>222062</v>
      </c>
      <c r="E372" s="346">
        <v>9</v>
      </c>
    </row>
    <row r="373" spans="1:5">
      <c r="A373" s="346" t="s">
        <v>385</v>
      </c>
      <c r="B373" s="347" t="s">
        <v>402</v>
      </c>
      <c r="C373" s="386"/>
      <c r="D373" s="346">
        <v>220057</v>
      </c>
      <c r="E373" s="346">
        <v>10</v>
      </c>
    </row>
    <row r="374" spans="1:5">
      <c r="A374" s="423" t="s">
        <v>385</v>
      </c>
      <c r="B374" s="347" t="s">
        <v>410</v>
      </c>
      <c r="C374" s="348"/>
      <c r="D374" s="346">
        <v>219596</v>
      </c>
      <c r="E374" s="346">
        <v>13</v>
      </c>
    </row>
    <row r="375" spans="1:5">
      <c r="A375" s="423" t="s">
        <v>385</v>
      </c>
      <c r="B375" s="347" t="s">
        <v>408</v>
      </c>
      <c r="C375" s="441"/>
      <c r="D375" s="346" t="s">
        <v>409</v>
      </c>
      <c r="E375" s="346">
        <v>13</v>
      </c>
    </row>
    <row r="376" spans="1:5">
      <c r="A376" s="346" t="s">
        <v>385</v>
      </c>
      <c r="B376" s="347" t="s">
        <v>411</v>
      </c>
      <c r="C376" s="348"/>
      <c r="D376" s="346">
        <v>219921</v>
      </c>
      <c r="E376" s="346">
        <v>13</v>
      </c>
    </row>
    <row r="377" spans="1:5">
      <c r="A377" s="423" t="s">
        <v>385</v>
      </c>
      <c r="B377" s="347" t="s">
        <v>412</v>
      </c>
      <c r="C377" s="349"/>
      <c r="D377" s="346">
        <v>221591</v>
      </c>
      <c r="E377" s="346">
        <v>13</v>
      </c>
    </row>
    <row r="378" spans="1:5">
      <c r="A378" s="423" t="s">
        <v>385</v>
      </c>
      <c r="B378" s="347" t="s">
        <v>413</v>
      </c>
      <c r="C378" s="348"/>
      <c r="D378" s="346">
        <v>221430</v>
      </c>
      <c r="E378" s="346">
        <v>13</v>
      </c>
    </row>
    <row r="379" spans="1:5">
      <c r="A379" s="346" t="s">
        <v>385</v>
      </c>
      <c r="B379" s="347" t="s">
        <v>414</v>
      </c>
      <c r="C379" s="348"/>
      <c r="D379" s="346">
        <v>219994</v>
      </c>
      <c r="E379" s="346">
        <v>13</v>
      </c>
    </row>
    <row r="380" spans="1:5">
      <c r="A380" s="423" t="s">
        <v>385</v>
      </c>
      <c r="B380" s="347" t="s">
        <v>415</v>
      </c>
      <c r="C380" s="349"/>
      <c r="D380" s="346">
        <v>220127</v>
      </c>
      <c r="E380" s="346">
        <v>13</v>
      </c>
    </row>
    <row r="381" spans="1:5">
      <c r="A381" s="423" t="s">
        <v>385</v>
      </c>
      <c r="B381" s="347" t="s">
        <v>416</v>
      </c>
      <c r="C381" s="348"/>
      <c r="D381" s="346">
        <v>220251</v>
      </c>
      <c r="E381" s="346">
        <v>13</v>
      </c>
    </row>
    <row r="382" spans="1:5">
      <c r="A382" s="346" t="s">
        <v>385</v>
      </c>
      <c r="B382" s="347" t="s">
        <v>417</v>
      </c>
      <c r="C382" s="348"/>
      <c r="D382" s="346">
        <v>220279</v>
      </c>
      <c r="E382" s="346">
        <v>13</v>
      </c>
    </row>
    <row r="383" spans="1:5">
      <c r="A383" s="423" t="s">
        <v>385</v>
      </c>
      <c r="B383" s="347" t="s">
        <v>418</v>
      </c>
      <c r="C383" s="349"/>
      <c r="D383" s="346">
        <v>220321</v>
      </c>
      <c r="E383" s="346">
        <v>13</v>
      </c>
    </row>
    <row r="384" spans="1:5">
      <c r="A384" s="423" t="s">
        <v>385</v>
      </c>
      <c r="B384" s="347" t="s">
        <v>419</v>
      </c>
      <c r="C384" s="348"/>
      <c r="D384" s="346">
        <v>220394</v>
      </c>
      <c r="E384" s="346">
        <v>13</v>
      </c>
    </row>
    <row r="385" spans="1:5">
      <c r="A385" s="346" t="s">
        <v>385</v>
      </c>
      <c r="B385" s="347" t="s">
        <v>420</v>
      </c>
      <c r="C385" s="348"/>
      <c r="D385" s="346">
        <v>221616</v>
      </c>
      <c r="E385" s="346">
        <v>13</v>
      </c>
    </row>
    <row r="386" spans="1:5">
      <c r="A386" s="423" t="s">
        <v>385</v>
      </c>
      <c r="B386" s="347" t="s">
        <v>421</v>
      </c>
      <c r="C386" s="349"/>
      <c r="D386" s="346">
        <v>221625</v>
      </c>
      <c r="E386" s="346">
        <v>13</v>
      </c>
    </row>
    <row r="387" spans="1:5">
      <c r="A387" s="423" t="s">
        <v>385</v>
      </c>
      <c r="B387" s="347" t="s">
        <v>422</v>
      </c>
      <c r="C387" s="348"/>
      <c r="D387" s="346">
        <v>220640</v>
      </c>
      <c r="E387" s="346">
        <v>13</v>
      </c>
    </row>
    <row r="388" spans="1:5">
      <c r="A388" s="346" t="s">
        <v>385</v>
      </c>
      <c r="B388" s="347" t="s">
        <v>423</v>
      </c>
      <c r="C388" s="348"/>
      <c r="D388" s="346">
        <v>220756</v>
      </c>
      <c r="E388" s="346">
        <v>13</v>
      </c>
    </row>
    <row r="389" spans="1:5">
      <c r="A389" s="423" t="s">
        <v>385</v>
      </c>
      <c r="B389" s="347" t="s">
        <v>424</v>
      </c>
      <c r="C389" s="349"/>
      <c r="D389" s="346">
        <v>221607</v>
      </c>
      <c r="E389" s="346">
        <v>13</v>
      </c>
    </row>
    <row r="390" spans="1:5">
      <c r="A390" s="423" t="s">
        <v>385</v>
      </c>
      <c r="B390" s="347" t="s">
        <v>425</v>
      </c>
      <c r="C390" s="459" t="s">
        <v>917</v>
      </c>
      <c r="D390" s="346">
        <v>220853</v>
      </c>
      <c r="E390" s="346">
        <v>13</v>
      </c>
    </row>
    <row r="391" spans="1:5">
      <c r="A391" s="346" t="s">
        <v>385</v>
      </c>
      <c r="B391" s="347" t="s">
        <v>426</v>
      </c>
      <c r="C391" s="348"/>
      <c r="D391" s="346">
        <v>221050</v>
      </c>
      <c r="E391" s="346">
        <v>13</v>
      </c>
    </row>
    <row r="392" spans="1:5">
      <c r="A392" s="423" t="s">
        <v>385</v>
      </c>
      <c r="B392" s="347" t="s">
        <v>427</v>
      </c>
      <c r="C392" s="349"/>
      <c r="D392" s="346">
        <v>221102</v>
      </c>
      <c r="E392" s="346">
        <v>13</v>
      </c>
    </row>
    <row r="393" spans="1:5">
      <c r="A393" s="423" t="s">
        <v>385</v>
      </c>
      <c r="B393" s="347" t="s">
        <v>428</v>
      </c>
      <c r="C393" s="348"/>
      <c r="D393" s="346">
        <v>248925</v>
      </c>
      <c r="E393" s="346">
        <v>13</v>
      </c>
    </row>
    <row r="394" spans="1:5">
      <c r="A394" s="346" t="s">
        <v>385</v>
      </c>
      <c r="B394" s="347" t="s">
        <v>429</v>
      </c>
      <c r="C394" s="348"/>
      <c r="D394" s="346">
        <v>221236</v>
      </c>
      <c r="E394" s="346">
        <v>13</v>
      </c>
    </row>
    <row r="395" spans="1:5">
      <c r="A395" s="423" t="s">
        <v>385</v>
      </c>
      <c r="B395" s="347" t="s">
        <v>430</v>
      </c>
      <c r="C395" s="349"/>
      <c r="D395" s="346">
        <v>221582</v>
      </c>
      <c r="E395" s="346">
        <v>13</v>
      </c>
    </row>
    <row r="396" spans="1:5">
      <c r="A396" s="423" t="s">
        <v>385</v>
      </c>
      <c r="B396" s="347" t="s">
        <v>431</v>
      </c>
      <c r="C396" s="348"/>
      <c r="D396" s="346">
        <v>221281</v>
      </c>
      <c r="E396" s="346">
        <v>13</v>
      </c>
    </row>
    <row r="397" spans="1:5">
      <c r="A397" s="346" t="s">
        <v>385</v>
      </c>
      <c r="B397" s="347" t="s">
        <v>432</v>
      </c>
      <c r="C397" s="348"/>
      <c r="D397" s="346">
        <v>221333</v>
      </c>
      <c r="E397" s="346">
        <v>13</v>
      </c>
    </row>
    <row r="398" spans="1:5">
      <c r="A398" s="423" t="s">
        <v>385</v>
      </c>
      <c r="B398" s="347" t="s">
        <v>433</v>
      </c>
      <c r="C398" s="349"/>
      <c r="D398" s="346">
        <v>221388</v>
      </c>
      <c r="E398" s="346">
        <v>13</v>
      </c>
    </row>
    <row r="399" spans="1:5">
      <c r="A399" s="423" t="s">
        <v>385</v>
      </c>
      <c r="B399" s="347" t="s">
        <v>434</v>
      </c>
      <c r="C399" s="348"/>
      <c r="D399" s="346">
        <v>221494</v>
      </c>
      <c r="E399" s="346">
        <v>13</v>
      </c>
    </row>
    <row r="400" spans="1:5">
      <c r="A400" s="346" t="s">
        <v>385</v>
      </c>
      <c r="B400" s="347" t="s">
        <v>435</v>
      </c>
      <c r="C400" s="348"/>
      <c r="D400" s="346">
        <v>221634</v>
      </c>
      <c r="E400" s="346">
        <v>13</v>
      </c>
    </row>
    <row r="401" spans="1:5">
      <c r="A401" s="375" t="s">
        <v>436</v>
      </c>
      <c r="B401" s="373" t="s">
        <v>768</v>
      </c>
      <c r="C401" s="374"/>
      <c r="D401" s="375">
        <v>228723</v>
      </c>
      <c r="E401" s="375">
        <v>1</v>
      </c>
    </row>
    <row r="402" spans="1:5">
      <c r="A402" s="375" t="s">
        <v>436</v>
      </c>
      <c r="B402" s="373" t="s">
        <v>769</v>
      </c>
      <c r="C402" s="374"/>
      <c r="D402" s="375">
        <v>229115</v>
      </c>
      <c r="E402" s="375">
        <v>1</v>
      </c>
    </row>
    <row r="403" spans="1:5">
      <c r="A403" s="375" t="s">
        <v>436</v>
      </c>
      <c r="B403" s="373" t="s">
        <v>770</v>
      </c>
      <c r="C403" s="374"/>
      <c r="D403" s="375">
        <v>225511</v>
      </c>
      <c r="E403" s="375">
        <v>1</v>
      </c>
    </row>
    <row r="404" spans="1:5">
      <c r="A404" s="375" t="s">
        <v>436</v>
      </c>
      <c r="B404" s="373" t="s">
        <v>771</v>
      </c>
      <c r="C404" s="374"/>
      <c r="D404" s="375">
        <v>227216</v>
      </c>
      <c r="E404" s="375">
        <v>1</v>
      </c>
    </row>
    <row r="405" spans="1:5">
      <c r="A405" s="375" t="s">
        <v>436</v>
      </c>
      <c r="B405" s="373" t="s">
        <v>772</v>
      </c>
      <c r="C405" s="374"/>
      <c r="D405" s="375">
        <v>228769</v>
      </c>
      <c r="E405" s="375">
        <v>1</v>
      </c>
    </row>
    <row r="406" spans="1:5">
      <c r="A406" s="375" t="s">
        <v>436</v>
      </c>
      <c r="B406" s="373" t="s">
        <v>773</v>
      </c>
      <c r="C406" s="374"/>
      <c r="D406" s="375">
        <v>228778</v>
      </c>
      <c r="E406" s="375">
        <v>1</v>
      </c>
    </row>
    <row r="407" spans="1:5">
      <c r="A407" s="375" t="s">
        <v>436</v>
      </c>
      <c r="B407" s="373" t="s">
        <v>774</v>
      </c>
      <c r="C407" s="374"/>
      <c r="D407" s="375">
        <v>228787</v>
      </c>
      <c r="E407" s="375">
        <v>1</v>
      </c>
    </row>
    <row r="408" spans="1:5">
      <c r="A408" s="375" t="s">
        <v>436</v>
      </c>
      <c r="B408" s="373" t="s">
        <v>775</v>
      </c>
      <c r="C408" s="376"/>
      <c r="D408" s="375">
        <v>229027</v>
      </c>
      <c r="E408" s="375">
        <v>1</v>
      </c>
    </row>
    <row r="409" spans="1:5">
      <c r="A409" s="375" t="s">
        <v>436</v>
      </c>
      <c r="B409" s="388" t="s">
        <v>776</v>
      </c>
      <c r="C409" s="376"/>
      <c r="D409" s="375">
        <v>228459</v>
      </c>
      <c r="E409" s="375">
        <v>2</v>
      </c>
    </row>
    <row r="410" spans="1:5">
      <c r="A410" s="375" t="s">
        <v>436</v>
      </c>
      <c r="B410" s="373" t="s">
        <v>777</v>
      </c>
      <c r="C410" s="461" t="s">
        <v>918</v>
      </c>
      <c r="D410" s="375">
        <v>229179</v>
      </c>
      <c r="E410" s="375">
        <v>2</v>
      </c>
    </row>
    <row r="411" spans="1:5">
      <c r="A411" s="375" t="s">
        <v>436</v>
      </c>
      <c r="B411" s="373" t="s">
        <v>778</v>
      </c>
      <c r="C411" s="462" t="s">
        <v>919</v>
      </c>
      <c r="D411" s="375">
        <v>228796</v>
      </c>
      <c r="E411" s="375">
        <v>2</v>
      </c>
    </row>
    <row r="412" spans="1:5">
      <c r="A412" s="375" t="s">
        <v>436</v>
      </c>
      <c r="B412" s="373" t="s">
        <v>779</v>
      </c>
      <c r="C412" s="389"/>
      <c r="D412" s="375">
        <v>222831</v>
      </c>
      <c r="E412" s="375">
        <v>3</v>
      </c>
    </row>
    <row r="413" spans="1:5">
      <c r="A413" s="375" t="s">
        <v>436</v>
      </c>
      <c r="B413" s="373" t="s">
        <v>780</v>
      </c>
      <c r="C413" s="389"/>
      <c r="D413" s="375">
        <v>226091</v>
      </c>
      <c r="E413" s="375">
        <v>3</v>
      </c>
    </row>
    <row r="414" spans="1:5">
      <c r="A414" s="375" t="s">
        <v>436</v>
      </c>
      <c r="B414" s="373" t="s">
        <v>781</v>
      </c>
      <c r="C414" s="389"/>
      <c r="D414" s="375">
        <v>226833</v>
      </c>
      <c r="E414" s="375">
        <v>3</v>
      </c>
    </row>
    <row r="415" spans="1:5">
      <c r="A415" s="375" t="s">
        <v>436</v>
      </c>
      <c r="B415" s="373" t="s">
        <v>782</v>
      </c>
      <c r="C415" s="389"/>
      <c r="D415" s="375">
        <v>227526</v>
      </c>
      <c r="E415" s="375">
        <v>3</v>
      </c>
    </row>
    <row r="416" spans="1:5">
      <c r="A416" s="375" t="s">
        <v>436</v>
      </c>
      <c r="B416" s="373" t="s">
        <v>783</v>
      </c>
      <c r="C416" s="389"/>
      <c r="D416" s="375">
        <v>227881</v>
      </c>
      <c r="E416" s="375">
        <v>3</v>
      </c>
    </row>
    <row r="417" spans="1:5">
      <c r="A417" s="375" t="s">
        <v>436</v>
      </c>
      <c r="B417" s="373" t="s">
        <v>784</v>
      </c>
      <c r="C417" s="389"/>
      <c r="D417" s="375">
        <v>228431</v>
      </c>
      <c r="E417" s="375">
        <v>3</v>
      </c>
    </row>
    <row r="418" spans="1:5">
      <c r="A418" s="375" t="s">
        <v>436</v>
      </c>
      <c r="B418" s="373" t="s">
        <v>785</v>
      </c>
      <c r="C418" s="389"/>
      <c r="D418" s="375">
        <v>228501</v>
      </c>
      <c r="E418" s="375">
        <v>3</v>
      </c>
    </row>
    <row r="419" spans="1:5">
      <c r="A419" s="375" t="s">
        <v>436</v>
      </c>
      <c r="B419" s="373" t="s">
        <v>786</v>
      </c>
      <c r="C419" s="389"/>
      <c r="D419" s="375">
        <v>228529</v>
      </c>
      <c r="E419" s="375">
        <v>3</v>
      </c>
    </row>
    <row r="420" spans="1:5">
      <c r="A420" s="375" t="s">
        <v>436</v>
      </c>
      <c r="B420" s="373" t="s">
        <v>787</v>
      </c>
      <c r="C420" s="389"/>
      <c r="D420" s="375">
        <v>226152</v>
      </c>
      <c r="E420" s="375">
        <v>3</v>
      </c>
    </row>
    <row r="421" spans="1:5">
      <c r="A421" s="375" t="s">
        <v>436</v>
      </c>
      <c r="B421" s="373" t="s">
        <v>788</v>
      </c>
      <c r="C421" s="389"/>
      <c r="D421" s="375">
        <v>224554</v>
      </c>
      <c r="E421" s="375">
        <v>3</v>
      </c>
    </row>
    <row r="422" spans="1:5">
      <c r="A422" s="375" t="s">
        <v>436</v>
      </c>
      <c r="B422" s="373" t="s">
        <v>789</v>
      </c>
      <c r="C422" s="389" t="s">
        <v>727</v>
      </c>
      <c r="D422" s="375">
        <v>224147</v>
      </c>
      <c r="E422" s="375">
        <v>3</v>
      </c>
    </row>
    <row r="423" spans="1:5">
      <c r="A423" s="375" t="s">
        <v>436</v>
      </c>
      <c r="B423" s="373" t="s">
        <v>790</v>
      </c>
      <c r="C423" s="389"/>
      <c r="D423" s="375">
        <v>228705</v>
      </c>
      <c r="E423" s="375">
        <v>3</v>
      </c>
    </row>
    <row r="424" spans="1:5">
      <c r="A424" s="375" t="s">
        <v>436</v>
      </c>
      <c r="B424" s="373" t="s">
        <v>791</v>
      </c>
      <c r="C424" s="389"/>
      <c r="D424" s="375">
        <v>229063</v>
      </c>
      <c r="E424" s="375">
        <v>3</v>
      </c>
    </row>
    <row r="425" spans="1:5">
      <c r="A425" s="375" t="s">
        <v>436</v>
      </c>
      <c r="B425" s="373" t="s">
        <v>792</v>
      </c>
      <c r="C425" s="389"/>
      <c r="D425" s="375">
        <v>225414</v>
      </c>
      <c r="E425" s="375">
        <v>3</v>
      </c>
    </row>
    <row r="426" spans="1:5">
      <c r="A426" s="375" t="s">
        <v>436</v>
      </c>
      <c r="B426" s="373" t="s">
        <v>793</v>
      </c>
      <c r="C426" s="389"/>
      <c r="D426" s="375">
        <v>228802</v>
      </c>
      <c r="E426" s="375">
        <v>3</v>
      </c>
    </row>
    <row r="427" spans="1:5">
      <c r="A427" s="375" t="s">
        <v>436</v>
      </c>
      <c r="B427" s="390" t="s">
        <v>794</v>
      </c>
      <c r="C427" s="389"/>
      <c r="D427" s="375">
        <v>229018</v>
      </c>
      <c r="E427" s="375">
        <v>3</v>
      </c>
    </row>
    <row r="428" spans="1:5">
      <c r="A428" s="435" t="s">
        <v>436</v>
      </c>
      <c r="B428" s="388" t="s">
        <v>795</v>
      </c>
      <c r="C428" s="389"/>
      <c r="D428" s="375">
        <v>227368</v>
      </c>
      <c r="E428" s="375">
        <v>3</v>
      </c>
    </row>
    <row r="429" spans="1:5">
      <c r="A429" s="375" t="s">
        <v>436</v>
      </c>
      <c r="B429" s="373" t="s">
        <v>796</v>
      </c>
      <c r="C429" s="389"/>
      <c r="D429" s="375">
        <v>229814</v>
      </c>
      <c r="E429" s="375">
        <v>3</v>
      </c>
    </row>
    <row r="430" spans="1:5">
      <c r="A430" s="375" t="s">
        <v>436</v>
      </c>
      <c r="B430" s="373" t="s">
        <v>797</v>
      </c>
      <c r="C430" s="389"/>
      <c r="D430" s="375">
        <v>224545</v>
      </c>
      <c r="E430" s="375">
        <v>4</v>
      </c>
    </row>
    <row r="431" spans="1:5">
      <c r="A431" s="375" t="s">
        <v>436</v>
      </c>
      <c r="B431" s="373" t="s">
        <v>798</v>
      </c>
      <c r="C431" s="442" t="s">
        <v>903</v>
      </c>
      <c r="D431" s="46">
        <v>483036</v>
      </c>
      <c r="E431" s="443">
        <v>3</v>
      </c>
    </row>
    <row r="432" spans="1:5">
      <c r="A432" s="375" t="s">
        <v>436</v>
      </c>
      <c r="B432" s="373" t="s">
        <v>799</v>
      </c>
      <c r="C432" s="444"/>
      <c r="D432" s="375">
        <v>225432</v>
      </c>
      <c r="E432" s="375">
        <v>4</v>
      </c>
    </row>
    <row r="433" spans="1:5">
      <c r="A433" s="375" t="s">
        <v>436</v>
      </c>
      <c r="B433" s="373" t="s">
        <v>800</v>
      </c>
      <c r="C433" s="389"/>
      <c r="D433" s="375">
        <v>225502</v>
      </c>
      <c r="E433" s="375">
        <v>4</v>
      </c>
    </row>
    <row r="434" spans="1:5">
      <c r="A434" s="375" t="s">
        <v>436</v>
      </c>
      <c r="B434" s="373" t="s">
        <v>801</v>
      </c>
      <c r="C434" s="389"/>
      <c r="D434" s="375" t="s">
        <v>802</v>
      </c>
      <c r="E434" s="375">
        <v>5</v>
      </c>
    </row>
    <row r="435" spans="1:5">
      <c r="A435" s="375" t="s">
        <v>436</v>
      </c>
      <c r="B435" s="373" t="s">
        <v>803</v>
      </c>
      <c r="C435" s="376"/>
      <c r="D435" s="375">
        <v>228714</v>
      </c>
      <c r="E435" s="375">
        <v>5</v>
      </c>
    </row>
    <row r="436" spans="1:5">
      <c r="A436" s="375" t="s">
        <v>436</v>
      </c>
      <c r="B436" s="373" t="s">
        <v>804</v>
      </c>
      <c r="C436" s="442" t="s">
        <v>904</v>
      </c>
      <c r="D436" s="46">
        <v>870501</v>
      </c>
      <c r="E436" s="443">
        <v>4</v>
      </c>
    </row>
    <row r="437" spans="1:5">
      <c r="A437" s="375" t="s">
        <v>436</v>
      </c>
      <c r="B437" s="373" t="s">
        <v>805</v>
      </c>
      <c r="C437" s="462" t="s">
        <v>920</v>
      </c>
      <c r="D437" s="375">
        <v>223506</v>
      </c>
      <c r="E437" s="375">
        <v>7</v>
      </c>
    </row>
    <row r="438" spans="1:5">
      <c r="A438" s="375" t="s">
        <v>436</v>
      </c>
      <c r="B438" s="373" t="s">
        <v>806</v>
      </c>
      <c r="C438" s="462" t="s">
        <v>920</v>
      </c>
      <c r="D438" s="375">
        <v>226806</v>
      </c>
      <c r="E438" s="375">
        <v>7</v>
      </c>
    </row>
    <row r="439" spans="1:5">
      <c r="A439" s="375" t="s">
        <v>436</v>
      </c>
      <c r="B439" s="373" t="s">
        <v>807</v>
      </c>
      <c r="C439" s="462" t="s">
        <v>921</v>
      </c>
      <c r="D439" s="375">
        <v>409315</v>
      </c>
      <c r="E439" s="375">
        <v>7</v>
      </c>
    </row>
    <row r="440" spans="1:5">
      <c r="A440" s="375" t="s">
        <v>436</v>
      </c>
      <c r="B440" s="373" t="s">
        <v>808</v>
      </c>
      <c r="C440" s="389"/>
      <c r="D440" s="375">
        <v>222576</v>
      </c>
      <c r="E440" s="375">
        <v>8</v>
      </c>
    </row>
    <row r="441" spans="1:5">
      <c r="A441" s="375" t="s">
        <v>436</v>
      </c>
      <c r="B441" s="373" t="s">
        <v>809</v>
      </c>
      <c r="C441" s="389" t="s">
        <v>810</v>
      </c>
      <c r="D441" s="375">
        <v>222992</v>
      </c>
      <c r="E441" s="375">
        <v>8</v>
      </c>
    </row>
    <row r="442" spans="1:5">
      <c r="A442" s="375" t="s">
        <v>436</v>
      </c>
      <c r="B442" s="373" t="s">
        <v>811</v>
      </c>
      <c r="C442" s="389"/>
      <c r="D442" s="375">
        <v>223427</v>
      </c>
      <c r="E442" s="375">
        <v>8</v>
      </c>
    </row>
    <row r="443" spans="1:5">
      <c r="A443" s="375" t="s">
        <v>436</v>
      </c>
      <c r="B443" s="373" t="s">
        <v>812</v>
      </c>
      <c r="C443" s="462" t="s">
        <v>920</v>
      </c>
      <c r="D443" s="375">
        <v>223524</v>
      </c>
      <c r="E443" s="375">
        <v>8</v>
      </c>
    </row>
    <row r="444" spans="1:5">
      <c r="A444" s="375" t="s">
        <v>436</v>
      </c>
      <c r="B444" s="373" t="s">
        <v>813</v>
      </c>
      <c r="C444" s="389"/>
      <c r="D444" s="375">
        <v>223816</v>
      </c>
      <c r="E444" s="375">
        <v>8</v>
      </c>
    </row>
    <row r="445" spans="1:5">
      <c r="A445" s="375" t="s">
        <v>436</v>
      </c>
      <c r="B445" s="373" t="s">
        <v>814</v>
      </c>
      <c r="C445" s="389"/>
      <c r="D445" s="375">
        <v>247834</v>
      </c>
      <c r="E445" s="375">
        <v>8</v>
      </c>
    </row>
    <row r="446" spans="1:5">
      <c r="A446" s="375" t="s">
        <v>436</v>
      </c>
      <c r="B446" s="373" t="s">
        <v>815</v>
      </c>
      <c r="C446" s="389"/>
      <c r="D446" s="375">
        <v>224350</v>
      </c>
      <c r="E446" s="375">
        <v>8</v>
      </c>
    </row>
    <row r="447" spans="1:5">
      <c r="A447" s="375" t="s">
        <v>436</v>
      </c>
      <c r="B447" s="373" t="s">
        <v>816</v>
      </c>
      <c r="C447" s="389"/>
      <c r="D447" s="375">
        <v>224572</v>
      </c>
      <c r="E447" s="375">
        <v>8</v>
      </c>
    </row>
    <row r="448" spans="1:5">
      <c r="A448" s="375" t="s">
        <v>436</v>
      </c>
      <c r="B448" s="373" t="s">
        <v>817</v>
      </c>
      <c r="C448" s="389"/>
      <c r="D448" s="375">
        <v>224615</v>
      </c>
      <c r="E448" s="375">
        <v>8</v>
      </c>
    </row>
    <row r="449" spans="1:5">
      <c r="A449" s="375" t="s">
        <v>436</v>
      </c>
      <c r="B449" s="373" t="s">
        <v>818</v>
      </c>
      <c r="C449" s="389"/>
      <c r="D449" s="375">
        <v>224642</v>
      </c>
      <c r="E449" s="375">
        <v>8</v>
      </c>
    </row>
    <row r="450" spans="1:5">
      <c r="A450" s="435" t="s">
        <v>436</v>
      </c>
      <c r="B450" s="373" t="s">
        <v>819</v>
      </c>
      <c r="C450" s="389"/>
      <c r="D450" s="375">
        <v>225423</v>
      </c>
      <c r="E450" s="375">
        <v>8</v>
      </c>
    </row>
    <row r="451" spans="1:5">
      <c r="A451" s="435" t="s">
        <v>436</v>
      </c>
      <c r="B451" s="373" t="s">
        <v>820</v>
      </c>
      <c r="C451" s="389"/>
      <c r="D451" s="375">
        <v>226134</v>
      </c>
      <c r="E451" s="375">
        <v>8</v>
      </c>
    </row>
    <row r="452" spans="1:5">
      <c r="A452" s="435" t="s">
        <v>436</v>
      </c>
      <c r="B452" s="373" t="s">
        <v>821</v>
      </c>
      <c r="C452" s="389"/>
      <c r="D452" s="375">
        <v>227182</v>
      </c>
      <c r="E452" s="375">
        <v>8</v>
      </c>
    </row>
    <row r="453" spans="1:5">
      <c r="A453" s="435" t="s">
        <v>436</v>
      </c>
      <c r="B453" s="373" t="s">
        <v>822</v>
      </c>
      <c r="C453" s="389"/>
      <c r="D453" s="375">
        <v>226578</v>
      </c>
      <c r="E453" s="375">
        <v>8</v>
      </c>
    </row>
    <row r="454" spans="1:5">
      <c r="A454" s="435" t="s">
        <v>436</v>
      </c>
      <c r="B454" s="373" t="s">
        <v>823</v>
      </c>
      <c r="C454" s="376"/>
      <c r="D454" s="375">
        <v>226930</v>
      </c>
      <c r="E454" s="375">
        <v>8</v>
      </c>
    </row>
    <row r="455" spans="1:5">
      <c r="A455" s="435" t="s">
        <v>436</v>
      </c>
      <c r="B455" s="373" t="s">
        <v>824</v>
      </c>
      <c r="C455" s="389"/>
      <c r="D455" s="375">
        <v>227146</v>
      </c>
      <c r="E455" s="375">
        <v>8</v>
      </c>
    </row>
    <row r="456" spans="1:5">
      <c r="A456" s="435" t="s">
        <v>436</v>
      </c>
      <c r="B456" s="373" t="s">
        <v>825</v>
      </c>
      <c r="C456" s="389"/>
      <c r="D456" s="375">
        <v>224110</v>
      </c>
      <c r="E456" s="375">
        <v>8</v>
      </c>
    </row>
    <row r="457" spans="1:5">
      <c r="A457" s="435" t="s">
        <v>436</v>
      </c>
      <c r="B457" s="373" t="s">
        <v>826</v>
      </c>
      <c r="C457" s="389"/>
      <c r="D457" s="375">
        <v>227191</v>
      </c>
      <c r="E457" s="375">
        <v>8</v>
      </c>
    </row>
    <row r="458" spans="1:5">
      <c r="A458" s="435" t="s">
        <v>436</v>
      </c>
      <c r="B458" s="373" t="s">
        <v>827</v>
      </c>
      <c r="C458" s="389"/>
      <c r="D458" s="375">
        <v>420398</v>
      </c>
      <c r="E458" s="375">
        <v>8</v>
      </c>
    </row>
    <row r="459" spans="1:5">
      <c r="A459" s="435" t="s">
        <v>436</v>
      </c>
      <c r="B459" s="373" t="s">
        <v>828</v>
      </c>
      <c r="C459" s="389"/>
      <c r="D459" s="375">
        <v>246354</v>
      </c>
      <c r="E459" s="375">
        <v>8</v>
      </c>
    </row>
    <row r="460" spans="1:5">
      <c r="A460" s="435" t="s">
        <v>436</v>
      </c>
      <c r="B460" s="373" t="s">
        <v>829</v>
      </c>
      <c r="C460" s="389"/>
      <c r="D460" s="375">
        <v>227766</v>
      </c>
      <c r="E460" s="375">
        <v>8</v>
      </c>
    </row>
    <row r="461" spans="1:5">
      <c r="A461" s="435" t="s">
        <v>436</v>
      </c>
      <c r="B461" s="373" t="s">
        <v>830</v>
      </c>
      <c r="C461" s="389"/>
      <c r="D461" s="375">
        <v>227924</v>
      </c>
      <c r="E461" s="375">
        <v>8</v>
      </c>
    </row>
    <row r="462" spans="1:5">
      <c r="A462" s="435" t="s">
        <v>436</v>
      </c>
      <c r="B462" s="373" t="s">
        <v>831</v>
      </c>
      <c r="C462" s="389"/>
      <c r="D462" s="375">
        <v>227979</v>
      </c>
      <c r="E462" s="375">
        <v>8</v>
      </c>
    </row>
    <row r="463" spans="1:5">
      <c r="A463" s="435" t="s">
        <v>436</v>
      </c>
      <c r="B463" s="373" t="s">
        <v>832</v>
      </c>
      <c r="C463" s="389"/>
      <c r="D463" s="375">
        <v>228158</v>
      </c>
      <c r="E463" s="375">
        <v>8</v>
      </c>
    </row>
    <row r="464" spans="1:5">
      <c r="A464" s="435" t="s">
        <v>436</v>
      </c>
      <c r="B464" s="373" t="s">
        <v>833</v>
      </c>
      <c r="C464" s="389"/>
      <c r="D464" s="375">
        <v>227854</v>
      </c>
      <c r="E464" s="375">
        <v>8</v>
      </c>
    </row>
    <row r="465" spans="1:5">
      <c r="A465" s="435" t="s">
        <v>436</v>
      </c>
      <c r="B465" s="373" t="s">
        <v>834</v>
      </c>
      <c r="C465" s="389"/>
      <c r="D465" s="375">
        <v>228547</v>
      </c>
      <c r="E465" s="375">
        <v>8</v>
      </c>
    </row>
    <row r="466" spans="1:5">
      <c r="A466" s="435" t="s">
        <v>436</v>
      </c>
      <c r="B466" s="373" t="s">
        <v>835</v>
      </c>
      <c r="C466" s="389"/>
      <c r="D466" s="375">
        <v>225308</v>
      </c>
      <c r="E466" s="375">
        <v>8</v>
      </c>
    </row>
    <row r="467" spans="1:5">
      <c r="A467" s="435" t="s">
        <v>436</v>
      </c>
      <c r="B467" s="373" t="s">
        <v>836</v>
      </c>
      <c r="C467" s="389" t="s">
        <v>725</v>
      </c>
      <c r="D467" s="375">
        <v>229355</v>
      </c>
      <c r="E467" s="375">
        <v>8</v>
      </c>
    </row>
    <row r="468" spans="1:5">
      <c r="A468" s="435" t="s">
        <v>436</v>
      </c>
      <c r="B468" s="373" t="s">
        <v>837</v>
      </c>
      <c r="C468" s="389"/>
      <c r="D468" s="375">
        <v>222567</v>
      </c>
      <c r="E468" s="375">
        <v>9</v>
      </c>
    </row>
    <row r="469" spans="1:5">
      <c r="A469" s="435" t="s">
        <v>436</v>
      </c>
      <c r="B469" s="373" t="s">
        <v>838</v>
      </c>
      <c r="C469" s="389"/>
      <c r="D469" s="375">
        <v>222822</v>
      </c>
      <c r="E469" s="375">
        <v>9</v>
      </c>
    </row>
    <row r="470" spans="1:5">
      <c r="A470" s="435" t="s">
        <v>436</v>
      </c>
      <c r="B470" s="373" t="s">
        <v>839</v>
      </c>
      <c r="C470" s="389"/>
      <c r="D470" s="375">
        <v>223773</v>
      </c>
      <c r="E470" s="375">
        <v>9</v>
      </c>
    </row>
    <row r="471" spans="1:5">
      <c r="A471" s="435" t="s">
        <v>436</v>
      </c>
      <c r="B471" s="391" t="s">
        <v>840</v>
      </c>
      <c r="C471" s="389"/>
      <c r="D471" s="375">
        <v>223898</v>
      </c>
      <c r="E471" s="375">
        <v>9</v>
      </c>
    </row>
    <row r="472" spans="1:5">
      <c r="A472" s="435" t="s">
        <v>436</v>
      </c>
      <c r="B472" s="373" t="s">
        <v>841</v>
      </c>
      <c r="C472" s="389"/>
      <c r="D472" s="375">
        <v>223320</v>
      </c>
      <c r="E472" s="375">
        <v>9</v>
      </c>
    </row>
    <row r="473" spans="1:5">
      <c r="A473" s="435" t="s">
        <v>436</v>
      </c>
      <c r="B473" s="373" t="s">
        <v>842</v>
      </c>
      <c r="C473" s="389"/>
      <c r="D473" s="375">
        <v>226408</v>
      </c>
      <c r="E473" s="375">
        <v>9</v>
      </c>
    </row>
    <row r="474" spans="1:5">
      <c r="A474" s="435" t="s">
        <v>436</v>
      </c>
      <c r="B474" s="391" t="s">
        <v>843</v>
      </c>
      <c r="C474" s="389"/>
      <c r="D474" s="375">
        <v>225070</v>
      </c>
      <c r="E474" s="375">
        <v>9</v>
      </c>
    </row>
    <row r="475" spans="1:5">
      <c r="A475" s="435" t="s">
        <v>436</v>
      </c>
      <c r="B475" s="373" t="s">
        <v>844</v>
      </c>
      <c r="C475" s="389"/>
      <c r="D475" s="375">
        <v>225371</v>
      </c>
      <c r="E475" s="375">
        <v>9</v>
      </c>
    </row>
    <row r="476" spans="1:5">
      <c r="A476" s="435" t="s">
        <v>436</v>
      </c>
      <c r="B476" s="373" t="s">
        <v>845</v>
      </c>
      <c r="C476" s="389"/>
      <c r="D476" s="375">
        <v>225520</v>
      </c>
      <c r="E476" s="375">
        <v>9</v>
      </c>
    </row>
    <row r="477" spans="1:5">
      <c r="A477" s="435" t="s">
        <v>436</v>
      </c>
      <c r="B477" s="373" t="s">
        <v>846</v>
      </c>
      <c r="C477" s="389"/>
      <c r="D477" s="375">
        <v>226019</v>
      </c>
      <c r="E477" s="375">
        <v>9</v>
      </c>
    </row>
    <row r="478" spans="1:5">
      <c r="A478" s="375" t="s">
        <v>436</v>
      </c>
      <c r="B478" s="373" t="s">
        <v>847</v>
      </c>
      <c r="C478" s="389"/>
      <c r="D478" s="375">
        <v>441760</v>
      </c>
      <c r="E478" s="375">
        <v>9</v>
      </c>
    </row>
    <row r="479" spans="1:5">
      <c r="A479" s="375" t="s">
        <v>436</v>
      </c>
      <c r="B479" s="373" t="s">
        <v>848</v>
      </c>
      <c r="C479" s="389"/>
      <c r="D479" s="375">
        <v>226204</v>
      </c>
      <c r="E479" s="375">
        <v>9</v>
      </c>
    </row>
    <row r="480" spans="1:5">
      <c r="A480" s="375" t="s">
        <v>436</v>
      </c>
      <c r="B480" s="373" t="s">
        <v>849</v>
      </c>
      <c r="C480" s="463" t="s">
        <v>922</v>
      </c>
      <c r="D480" s="375">
        <v>227225</v>
      </c>
      <c r="E480" s="375">
        <v>9</v>
      </c>
    </row>
    <row r="481" spans="1:5">
      <c r="A481" s="375" t="s">
        <v>436</v>
      </c>
      <c r="B481" s="373" t="s">
        <v>850</v>
      </c>
      <c r="C481" s="374"/>
      <c r="D481" s="375">
        <v>227304</v>
      </c>
      <c r="E481" s="375">
        <v>9</v>
      </c>
    </row>
    <row r="482" spans="1:5">
      <c r="A482" s="375" t="s">
        <v>436</v>
      </c>
      <c r="B482" s="373" t="s">
        <v>851</v>
      </c>
      <c r="C482" s="374"/>
      <c r="D482" s="375">
        <v>227401</v>
      </c>
      <c r="E482" s="375">
        <v>9</v>
      </c>
    </row>
    <row r="483" spans="1:5">
      <c r="A483" s="375" t="s">
        <v>436</v>
      </c>
      <c r="B483" s="373" t="s">
        <v>852</v>
      </c>
      <c r="C483" s="374"/>
      <c r="D483" s="375">
        <v>228316</v>
      </c>
      <c r="E483" s="375">
        <v>9</v>
      </c>
    </row>
    <row r="484" spans="1:5">
      <c r="A484" s="375" t="s">
        <v>436</v>
      </c>
      <c r="B484" s="373" t="s">
        <v>853</v>
      </c>
      <c r="C484" s="374"/>
      <c r="D484" s="375">
        <v>228608</v>
      </c>
      <c r="E484" s="375">
        <v>9</v>
      </c>
    </row>
    <row r="485" spans="1:5">
      <c r="A485" s="375" t="s">
        <v>436</v>
      </c>
      <c r="B485" s="373" t="s">
        <v>854</v>
      </c>
      <c r="C485" s="374"/>
      <c r="D485" s="375">
        <v>228699</v>
      </c>
      <c r="E485" s="375">
        <v>9</v>
      </c>
    </row>
    <row r="486" spans="1:5">
      <c r="A486" s="375" t="s">
        <v>436</v>
      </c>
      <c r="B486" s="373" t="s">
        <v>855</v>
      </c>
      <c r="C486" s="374" t="s">
        <v>856</v>
      </c>
      <c r="D486" s="364">
        <v>227377</v>
      </c>
      <c r="E486" s="375">
        <v>9</v>
      </c>
    </row>
    <row r="487" spans="1:5">
      <c r="A487" s="375" t="s">
        <v>436</v>
      </c>
      <c r="B487" s="373" t="s">
        <v>857</v>
      </c>
      <c r="C487" s="377"/>
      <c r="D487" s="375">
        <v>229319</v>
      </c>
      <c r="E487" s="375">
        <v>9</v>
      </c>
    </row>
    <row r="488" spans="1:5">
      <c r="A488" s="375" t="s">
        <v>436</v>
      </c>
      <c r="B488" s="373" t="s">
        <v>858</v>
      </c>
      <c r="C488" s="377"/>
      <c r="D488" s="375">
        <v>228680</v>
      </c>
      <c r="E488" s="375">
        <v>9</v>
      </c>
    </row>
    <row r="489" spans="1:5">
      <c r="A489" s="375" t="s">
        <v>436</v>
      </c>
      <c r="B489" s="373" t="s">
        <v>859</v>
      </c>
      <c r="C489" s="463" t="s">
        <v>922</v>
      </c>
      <c r="D489" s="375">
        <v>229504</v>
      </c>
      <c r="E489" s="375">
        <v>9</v>
      </c>
    </row>
    <row r="490" spans="1:5">
      <c r="A490" s="375" t="s">
        <v>436</v>
      </c>
      <c r="B490" s="373" t="s">
        <v>860</v>
      </c>
      <c r="C490" s="374"/>
      <c r="D490" s="375">
        <v>229540</v>
      </c>
      <c r="E490" s="375">
        <v>9</v>
      </c>
    </row>
    <row r="491" spans="1:5">
      <c r="A491" s="375" t="s">
        <v>436</v>
      </c>
      <c r="B491" s="373" t="s">
        <v>861</v>
      </c>
      <c r="C491" s="374"/>
      <c r="D491" s="375">
        <v>229799</v>
      </c>
      <c r="E491" s="375">
        <v>9</v>
      </c>
    </row>
    <row r="492" spans="1:5">
      <c r="A492" s="375" t="s">
        <v>436</v>
      </c>
      <c r="B492" s="373" t="s">
        <v>862</v>
      </c>
      <c r="C492" s="374"/>
      <c r="D492" s="375">
        <v>229841</v>
      </c>
      <c r="E492" s="375">
        <v>9</v>
      </c>
    </row>
    <row r="493" spans="1:5">
      <c r="A493" s="375" t="s">
        <v>436</v>
      </c>
      <c r="B493" s="373" t="s">
        <v>863</v>
      </c>
      <c r="C493" s="374"/>
      <c r="D493" s="375">
        <v>223922</v>
      </c>
      <c r="E493" s="375">
        <v>10</v>
      </c>
    </row>
    <row r="494" spans="1:5">
      <c r="A494" s="375" t="s">
        <v>436</v>
      </c>
      <c r="B494" s="373" t="s">
        <v>864</v>
      </c>
      <c r="C494" s="374"/>
      <c r="D494" s="375">
        <v>224891</v>
      </c>
      <c r="E494" s="375">
        <v>10</v>
      </c>
    </row>
    <row r="495" spans="1:5">
      <c r="A495" s="375" t="s">
        <v>436</v>
      </c>
      <c r="B495" s="373" t="s">
        <v>865</v>
      </c>
      <c r="C495" s="374"/>
      <c r="D495" s="375">
        <v>224961</v>
      </c>
      <c r="E495" s="375">
        <v>10</v>
      </c>
    </row>
    <row r="496" spans="1:5">
      <c r="A496" s="375" t="s">
        <v>436</v>
      </c>
      <c r="B496" s="373" t="s">
        <v>866</v>
      </c>
      <c r="C496" s="374"/>
      <c r="D496" s="375">
        <v>226107</v>
      </c>
      <c r="E496" s="375">
        <v>10</v>
      </c>
    </row>
    <row r="497" spans="1:5">
      <c r="A497" s="375" t="s">
        <v>436</v>
      </c>
      <c r="B497" s="373" t="s">
        <v>867</v>
      </c>
      <c r="C497" s="389" t="s">
        <v>733</v>
      </c>
      <c r="D497" s="375">
        <v>226116</v>
      </c>
      <c r="E497" s="375">
        <v>10</v>
      </c>
    </row>
    <row r="498" spans="1:5">
      <c r="A498" s="375" t="s">
        <v>436</v>
      </c>
      <c r="B498" s="373" t="s">
        <v>868</v>
      </c>
      <c r="C498" s="442" t="s">
        <v>905</v>
      </c>
      <c r="D498" s="46">
        <v>488730</v>
      </c>
      <c r="E498" s="445">
        <v>9</v>
      </c>
    </row>
    <row r="499" spans="1:5">
      <c r="A499" s="375" t="s">
        <v>436</v>
      </c>
      <c r="B499" s="373" t="s">
        <v>869</v>
      </c>
      <c r="C499" s="374"/>
      <c r="D499" s="375">
        <v>227386</v>
      </c>
      <c r="E499" s="375">
        <v>10</v>
      </c>
    </row>
    <row r="500" spans="1:5">
      <c r="A500" s="375" t="s">
        <v>436</v>
      </c>
      <c r="B500" s="373" t="s">
        <v>870</v>
      </c>
      <c r="C500" s="374"/>
      <c r="D500" s="375">
        <v>227687</v>
      </c>
      <c r="E500" s="375">
        <v>10</v>
      </c>
    </row>
    <row r="501" spans="1:5">
      <c r="A501" s="375" t="s">
        <v>436</v>
      </c>
      <c r="B501" s="373" t="s">
        <v>871</v>
      </c>
      <c r="C501" s="374"/>
      <c r="D501" s="375">
        <v>382911</v>
      </c>
      <c r="E501" s="375">
        <v>10</v>
      </c>
    </row>
    <row r="502" spans="1:5">
      <c r="A502" s="375" t="s">
        <v>436</v>
      </c>
      <c r="B502" s="388" t="s">
        <v>872</v>
      </c>
      <c r="C502" s="374"/>
      <c r="D502" s="378" t="s">
        <v>437</v>
      </c>
      <c r="E502" s="375">
        <v>10</v>
      </c>
    </row>
    <row r="503" spans="1:5">
      <c r="A503" s="375" t="s">
        <v>436</v>
      </c>
      <c r="B503" s="373" t="s">
        <v>873</v>
      </c>
      <c r="C503" s="374"/>
      <c r="D503" s="375">
        <v>408394</v>
      </c>
      <c r="E503" s="375">
        <v>10</v>
      </c>
    </row>
    <row r="504" spans="1:5">
      <c r="A504" s="375" t="s">
        <v>436</v>
      </c>
      <c r="B504" s="388" t="s">
        <v>874</v>
      </c>
      <c r="C504" s="374"/>
      <c r="D504" s="378" t="s">
        <v>437</v>
      </c>
      <c r="E504" s="375">
        <v>10</v>
      </c>
    </row>
    <row r="505" spans="1:5">
      <c r="A505" s="375" t="s">
        <v>436</v>
      </c>
      <c r="B505" s="373" t="s">
        <v>875</v>
      </c>
      <c r="C505" s="374"/>
      <c r="D505" s="375">
        <v>229328</v>
      </c>
      <c r="E505" s="375">
        <v>10</v>
      </c>
    </row>
    <row r="506" spans="1:5">
      <c r="A506" s="375" t="s">
        <v>436</v>
      </c>
      <c r="B506" s="373" t="s">
        <v>876</v>
      </c>
      <c r="C506" s="374"/>
      <c r="D506" s="375">
        <v>229832</v>
      </c>
      <c r="E506" s="375">
        <v>10</v>
      </c>
    </row>
    <row r="507" spans="1:5">
      <c r="A507" s="375" t="s">
        <v>436</v>
      </c>
      <c r="B507" s="373" t="s">
        <v>877</v>
      </c>
      <c r="C507" s="374"/>
      <c r="D507" s="375">
        <v>484905</v>
      </c>
      <c r="E507" s="375">
        <v>4</v>
      </c>
    </row>
    <row r="508" spans="1:5">
      <c r="A508" s="375" t="s">
        <v>436</v>
      </c>
      <c r="B508" s="446" t="s">
        <v>906</v>
      </c>
      <c r="C508" s="46" t="s">
        <v>907</v>
      </c>
      <c r="D508" s="447">
        <v>224615</v>
      </c>
      <c r="E508" s="448">
        <v>10</v>
      </c>
    </row>
    <row r="509" spans="1:5" ht="38.5">
      <c r="A509" s="350" t="s">
        <v>438</v>
      </c>
      <c r="B509" s="392" t="s">
        <v>439</v>
      </c>
      <c r="C509" s="393"/>
      <c r="D509" s="392">
        <v>232186</v>
      </c>
      <c r="E509" s="394">
        <v>1</v>
      </c>
    </row>
    <row r="510" spans="1:5" ht="38.5">
      <c r="A510" s="350" t="s">
        <v>438</v>
      </c>
      <c r="B510" s="392" t="s">
        <v>440</v>
      </c>
      <c r="C510" s="393"/>
      <c r="D510" s="392">
        <v>232982</v>
      </c>
      <c r="E510" s="394">
        <v>1</v>
      </c>
    </row>
    <row r="511" spans="1:5" ht="26">
      <c r="A511" s="350" t="s">
        <v>438</v>
      </c>
      <c r="B511" s="392" t="s">
        <v>441</v>
      </c>
      <c r="C511" s="353"/>
      <c r="D511" s="392">
        <v>234076</v>
      </c>
      <c r="E511" s="394">
        <v>1</v>
      </c>
    </row>
    <row r="512" spans="1:5" ht="51">
      <c r="A512" s="350" t="s">
        <v>438</v>
      </c>
      <c r="B512" s="392" t="s">
        <v>442</v>
      </c>
      <c r="C512" s="352"/>
      <c r="D512" s="392">
        <v>234030</v>
      </c>
      <c r="E512" s="394">
        <v>1</v>
      </c>
    </row>
    <row r="513" spans="1:5" ht="26">
      <c r="A513" s="350" t="s">
        <v>438</v>
      </c>
      <c r="B513" s="392" t="s">
        <v>443</v>
      </c>
      <c r="C513" s="353"/>
      <c r="D513" s="392">
        <v>233921</v>
      </c>
      <c r="E513" s="394">
        <v>1</v>
      </c>
    </row>
    <row r="514" spans="1:5" ht="38.5">
      <c r="A514" s="350" t="s">
        <v>438</v>
      </c>
      <c r="B514" s="392" t="s">
        <v>444</v>
      </c>
      <c r="C514" s="353"/>
      <c r="D514" s="392">
        <v>231624</v>
      </c>
      <c r="E514" s="394">
        <v>2</v>
      </c>
    </row>
    <row r="515" spans="1:5" ht="38.5">
      <c r="A515" s="350" t="s">
        <v>438</v>
      </c>
      <c r="B515" s="392" t="s">
        <v>445</v>
      </c>
      <c r="C515" s="393"/>
      <c r="D515" s="392">
        <v>232423</v>
      </c>
      <c r="E515" s="394">
        <v>3</v>
      </c>
    </row>
    <row r="516" spans="1:5" ht="26">
      <c r="A516" s="350" t="s">
        <v>438</v>
      </c>
      <c r="B516" s="392" t="s">
        <v>446</v>
      </c>
      <c r="C516" s="449" t="s">
        <v>901</v>
      </c>
      <c r="D516" s="450">
        <v>232566</v>
      </c>
      <c r="E516" s="451">
        <v>5</v>
      </c>
    </row>
    <row r="517" spans="1:5" ht="38.5">
      <c r="A517" s="350" t="s">
        <v>438</v>
      </c>
      <c r="B517" s="392" t="s">
        <v>447</v>
      </c>
      <c r="C517" s="449" t="s">
        <v>899</v>
      </c>
      <c r="D517" s="450">
        <v>232937</v>
      </c>
      <c r="E517" s="451">
        <v>4</v>
      </c>
    </row>
    <row r="518" spans="1:5" ht="26">
      <c r="A518" s="350" t="s">
        <v>438</v>
      </c>
      <c r="B518" s="392" t="s">
        <v>448</v>
      </c>
      <c r="C518" s="393"/>
      <c r="D518" s="452">
        <v>233277</v>
      </c>
      <c r="E518" s="394">
        <v>3</v>
      </c>
    </row>
    <row r="519" spans="1:5" ht="38.5">
      <c r="A519" s="350" t="s">
        <v>438</v>
      </c>
      <c r="B519" s="392" t="s">
        <v>449</v>
      </c>
      <c r="C519" s="449" t="s">
        <v>901</v>
      </c>
      <c r="D519" s="450">
        <v>232681</v>
      </c>
      <c r="E519" s="451">
        <v>5</v>
      </c>
    </row>
    <row r="520" spans="1:5" ht="38.5">
      <c r="A520" s="350" t="s">
        <v>438</v>
      </c>
      <c r="B520" s="392" t="s">
        <v>450</v>
      </c>
      <c r="C520" s="393"/>
      <c r="D520" s="392">
        <v>234155</v>
      </c>
      <c r="E520" s="394">
        <v>3</v>
      </c>
    </row>
    <row r="521" spans="1:5" ht="38.5">
      <c r="A521" s="350" t="s">
        <v>438</v>
      </c>
      <c r="B521" s="392" t="s">
        <v>451</v>
      </c>
      <c r="C521" s="393"/>
      <c r="D521" s="392">
        <v>231712</v>
      </c>
      <c r="E521" s="394">
        <v>5</v>
      </c>
    </row>
    <row r="522" spans="1:5" ht="51">
      <c r="A522" s="350" t="s">
        <v>438</v>
      </c>
      <c r="B522" s="392" t="s">
        <v>452</v>
      </c>
      <c r="C522" s="393"/>
      <c r="D522" s="392">
        <v>233897</v>
      </c>
      <c r="E522" s="394">
        <v>6</v>
      </c>
    </row>
    <row r="523" spans="1:5" ht="51">
      <c r="A523" s="350" t="s">
        <v>438</v>
      </c>
      <c r="B523" s="392" t="s">
        <v>453</v>
      </c>
      <c r="C523" s="393"/>
      <c r="D523" s="392">
        <v>232414</v>
      </c>
      <c r="E523" s="394">
        <v>8</v>
      </c>
    </row>
    <row r="524" spans="1:5" ht="38.5">
      <c r="A524" s="350" t="s">
        <v>438</v>
      </c>
      <c r="B524" s="392" t="s">
        <v>454</v>
      </c>
      <c r="C524" s="393"/>
      <c r="D524" s="392">
        <v>232450</v>
      </c>
      <c r="E524" s="394">
        <v>8</v>
      </c>
    </row>
    <row r="525" spans="1:5" ht="51">
      <c r="A525" s="350" t="s">
        <v>438</v>
      </c>
      <c r="B525" s="392" t="s">
        <v>455</v>
      </c>
      <c r="C525" s="393"/>
      <c r="D525" s="392">
        <v>232946</v>
      </c>
      <c r="E525" s="394">
        <v>8</v>
      </c>
    </row>
    <row r="526" spans="1:5" ht="51">
      <c r="A526" s="350" t="s">
        <v>438</v>
      </c>
      <c r="B526" s="392" t="s">
        <v>456</v>
      </c>
      <c r="C526" s="458" t="s">
        <v>916</v>
      </c>
      <c r="D526" s="392">
        <v>233754</v>
      </c>
      <c r="E526" s="394">
        <v>8</v>
      </c>
    </row>
    <row r="527" spans="1:5" ht="38.5">
      <c r="A527" s="350" t="s">
        <v>438</v>
      </c>
      <c r="B527" s="392" t="s">
        <v>457</v>
      </c>
      <c r="C527" s="393"/>
      <c r="D527" s="392">
        <v>233772</v>
      </c>
      <c r="E527" s="394">
        <v>8</v>
      </c>
    </row>
    <row r="528" spans="1:5" ht="38.5">
      <c r="A528" s="350" t="s">
        <v>438</v>
      </c>
      <c r="B528" s="392" t="s">
        <v>458</v>
      </c>
      <c r="C528" s="393"/>
      <c r="D528" s="392">
        <v>231536</v>
      </c>
      <c r="E528" s="394">
        <v>9</v>
      </c>
    </row>
    <row r="529" spans="1:5" ht="51">
      <c r="A529" s="350" t="s">
        <v>438</v>
      </c>
      <c r="B529" s="392" t="s">
        <v>459</v>
      </c>
      <c r="C529" s="393"/>
      <c r="D529" s="392">
        <v>231697</v>
      </c>
      <c r="E529" s="394">
        <v>9</v>
      </c>
    </row>
    <row r="530" spans="1:5" ht="38.5">
      <c r="A530" s="350" t="s">
        <v>438</v>
      </c>
      <c r="B530" s="392" t="s">
        <v>461</v>
      </c>
      <c r="C530" s="393"/>
      <c r="D530" s="392">
        <v>232195</v>
      </c>
      <c r="E530" s="394">
        <v>9</v>
      </c>
    </row>
    <row r="531" spans="1:5" ht="38.5">
      <c r="A531" s="350" t="s">
        <v>438</v>
      </c>
      <c r="B531" s="392" t="s">
        <v>462</v>
      </c>
      <c r="C531" s="393"/>
      <c r="D531" s="392">
        <v>232575</v>
      </c>
      <c r="E531" s="394">
        <v>9</v>
      </c>
    </row>
    <row r="532" spans="1:5" ht="38.5">
      <c r="A532" s="350" t="s">
        <v>438</v>
      </c>
      <c r="B532" s="392" t="s">
        <v>463</v>
      </c>
      <c r="C532" s="393"/>
      <c r="D532" s="392">
        <v>232867</v>
      </c>
      <c r="E532" s="394">
        <v>9</v>
      </c>
    </row>
    <row r="533" spans="1:5" ht="51">
      <c r="A533" s="350" t="s">
        <v>438</v>
      </c>
      <c r="B533" s="392" t="s">
        <v>465</v>
      </c>
      <c r="C533" s="393"/>
      <c r="D533" s="392">
        <v>233116</v>
      </c>
      <c r="E533" s="394">
        <v>9</v>
      </c>
    </row>
    <row r="534" spans="1:5" ht="51">
      <c r="A534" s="350" t="s">
        <v>438</v>
      </c>
      <c r="B534" s="392" t="s">
        <v>466</v>
      </c>
      <c r="C534" s="458" t="s">
        <v>913</v>
      </c>
      <c r="D534" s="392">
        <v>233639</v>
      </c>
      <c r="E534" s="394">
        <v>9</v>
      </c>
    </row>
    <row r="535" spans="1:5" ht="51">
      <c r="A535" s="350" t="s">
        <v>438</v>
      </c>
      <c r="B535" s="392" t="s">
        <v>467</v>
      </c>
      <c r="C535" s="393"/>
      <c r="D535" s="392">
        <v>233949</v>
      </c>
      <c r="E535" s="394">
        <v>9</v>
      </c>
    </row>
    <row r="536" spans="1:5" ht="51">
      <c r="A536" s="350" t="s">
        <v>438</v>
      </c>
      <c r="B536" s="392" t="s">
        <v>469</v>
      </c>
      <c r="C536" s="353"/>
      <c r="D536" s="392">
        <v>231873</v>
      </c>
      <c r="E536" s="394">
        <v>10</v>
      </c>
    </row>
    <row r="537" spans="1:5" ht="38.5">
      <c r="A537" s="350" t="s">
        <v>438</v>
      </c>
      <c r="B537" s="392" t="s">
        <v>460</v>
      </c>
      <c r="C537" s="395"/>
      <c r="D537" s="392">
        <v>231882</v>
      </c>
      <c r="E537" s="394">
        <v>10</v>
      </c>
    </row>
    <row r="538" spans="1:5" ht="51">
      <c r="A538" s="350" t="s">
        <v>438</v>
      </c>
      <c r="B538" s="392" t="s">
        <v>470</v>
      </c>
      <c r="C538" s="353"/>
      <c r="D538" s="392">
        <v>232052</v>
      </c>
      <c r="E538" s="394">
        <v>10</v>
      </c>
    </row>
    <row r="539" spans="1:5" ht="51">
      <c r="A539" s="350" t="s">
        <v>438</v>
      </c>
      <c r="B539" s="392" t="s">
        <v>471</v>
      </c>
      <c r="C539" s="352"/>
      <c r="D539" s="392">
        <v>232788</v>
      </c>
      <c r="E539" s="394">
        <v>10</v>
      </c>
    </row>
    <row r="540" spans="1:5" ht="51">
      <c r="A540" s="350" t="s">
        <v>438</v>
      </c>
      <c r="B540" s="392" t="s">
        <v>464</v>
      </c>
      <c r="C540" s="395"/>
      <c r="D540" s="392">
        <v>233019</v>
      </c>
      <c r="E540" s="394">
        <v>10</v>
      </c>
    </row>
    <row r="541" spans="1:5" ht="51">
      <c r="A541" s="350" t="s">
        <v>438</v>
      </c>
      <c r="B541" s="392" t="s">
        <v>472</v>
      </c>
      <c r="C541" s="353"/>
      <c r="D541" s="392">
        <v>233037</v>
      </c>
      <c r="E541" s="394">
        <v>10</v>
      </c>
    </row>
    <row r="542" spans="1:5" ht="51">
      <c r="A542" s="350" t="s">
        <v>438</v>
      </c>
      <c r="B542" s="392" t="s">
        <v>473</v>
      </c>
      <c r="C542" s="353"/>
      <c r="D542" s="392">
        <v>233310</v>
      </c>
      <c r="E542" s="394">
        <v>10</v>
      </c>
    </row>
    <row r="543" spans="1:5" ht="38.5">
      <c r="A543" s="350" t="s">
        <v>438</v>
      </c>
      <c r="B543" s="392" t="s">
        <v>474</v>
      </c>
      <c r="C543" s="353"/>
      <c r="D543" s="392">
        <v>233338</v>
      </c>
      <c r="E543" s="394">
        <v>10</v>
      </c>
    </row>
    <row r="544" spans="1:5" ht="51">
      <c r="A544" s="350" t="s">
        <v>438</v>
      </c>
      <c r="B544" s="392" t="s">
        <v>475</v>
      </c>
      <c r="C544" s="352"/>
      <c r="D544" s="392">
        <v>233648</v>
      </c>
      <c r="E544" s="394">
        <v>10</v>
      </c>
    </row>
    <row r="545" spans="1:5" ht="51">
      <c r="A545" s="350" t="s">
        <v>438</v>
      </c>
      <c r="B545" s="392" t="s">
        <v>476</v>
      </c>
      <c r="C545" s="353"/>
      <c r="D545" s="392">
        <v>233903</v>
      </c>
      <c r="E545" s="394">
        <v>10</v>
      </c>
    </row>
    <row r="546" spans="1:5" ht="38.5">
      <c r="A546" s="350" t="s">
        <v>438</v>
      </c>
      <c r="B546" s="392" t="s">
        <v>468</v>
      </c>
      <c r="C546" s="395"/>
      <c r="D546" s="392">
        <v>234377</v>
      </c>
      <c r="E546" s="394">
        <v>10</v>
      </c>
    </row>
    <row r="547" spans="1:5">
      <c r="A547" s="437" t="s">
        <v>477</v>
      </c>
      <c r="B547" s="379" t="s">
        <v>478</v>
      </c>
      <c r="C547" s="380"/>
      <c r="D547" s="381">
        <v>238032</v>
      </c>
      <c r="E547" s="381">
        <v>1</v>
      </c>
    </row>
    <row r="548" spans="1:5">
      <c r="A548" s="437" t="s">
        <v>477</v>
      </c>
      <c r="B548" s="379" t="s">
        <v>479</v>
      </c>
      <c r="C548" s="380"/>
      <c r="D548" s="381">
        <v>237525</v>
      </c>
      <c r="E548" s="381">
        <v>3</v>
      </c>
    </row>
    <row r="549" spans="1:5">
      <c r="A549" s="437" t="s">
        <v>477</v>
      </c>
      <c r="B549" s="379" t="s">
        <v>483</v>
      </c>
      <c r="C549" s="396"/>
      <c r="D549" s="381">
        <v>237330</v>
      </c>
      <c r="E549" s="381">
        <v>5</v>
      </c>
    </row>
    <row r="550" spans="1:5">
      <c r="A550" s="437" t="s">
        <v>477</v>
      </c>
      <c r="B550" s="379" t="s">
        <v>480</v>
      </c>
      <c r="C550" s="380"/>
      <c r="D550" s="381">
        <v>237367</v>
      </c>
      <c r="E550" s="381">
        <v>5</v>
      </c>
    </row>
    <row r="551" spans="1:5">
      <c r="A551" s="437" t="s">
        <v>477</v>
      </c>
      <c r="B551" s="379" t="s">
        <v>481</v>
      </c>
      <c r="C551" s="380"/>
      <c r="D551" s="381">
        <v>237792</v>
      </c>
      <c r="E551" s="381">
        <v>5</v>
      </c>
    </row>
    <row r="552" spans="1:5">
      <c r="A552" s="437" t="s">
        <v>477</v>
      </c>
      <c r="B552" s="379" t="s">
        <v>485</v>
      </c>
      <c r="C552" s="380" t="s">
        <v>915</v>
      </c>
      <c r="D552" s="381">
        <v>237932</v>
      </c>
      <c r="E552" s="381">
        <v>5</v>
      </c>
    </row>
    <row r="553" spans="1:5">
      <c r="A553" s="437" t="s">
        <v>477</v>
      </c>
      <c r="B553" s="379" t="s">
        <v>482</v>
      </c>
      <c r="C553" s="380"/>
      <c r="D553" s="381">
        <v>237215</v>
      </c>
      <c r="E553" s="381">
        <v>6</v>
      </c>
    </row>
    <row r="554" spans="1:5">
      <c r="A554" s="437" t="s">
        <v>477</v>
      </c>
      <c r="B554" s="379" t="s">
        <v>484</v>
      </c>
      <c r="C554" s="397"/>
      <c r="D554" s="381">
        <v>237385</v>
      </c>
      <c r="E554" s="381">
        <v>6</v>
      </c>
    </row>
    <row r="555" spans="1:5">
      <c r="A555" s="437" t="s">
        <v>477</v>
      </c>
      <c r="B555" s="379" t="s">
        <v>486</v>
      </c>
      <c r="C555" s="380" t="s">
        <v>915</v>
      </c>
      <c r="D555" s="381">
        <v>237899</v>
      </c>
      <c r="E555" s="381">
        <v>6</v>
      </c>
    </row>
    <row r="556" spans="1:5">
      <c r="A556" s="437" t="s">
        <v>477</v>
      </c>
      <c r="B556" s="379" t="s">
        <v>488</v>
      </c>
      <c r="C556" s="380"/>
      <c r="D556" s="381">
        <v>237950</v>
      </c>
      <c r="E556" s="381">
        <v>6</v>
      </c>
    </row>
    <row r="557" spans="1:5">
      <c r="A557" s="437" t="s">
        <v>477</v>
      </c>
      <c r="B557" s="379" t="s">
        <v>489</v>
      </c>
      <c r="C557" s="380"/>
      <c r="D557" s="381">
        <v>237701</v>
      </c>
      <c r="E557" s="381">
        <v>7</v>
      </c>
    </row>
    <row r="558" spans="1:5">
      <c r="A558" s="437" t="s">
        <v>477</v>
      </c>
      <c r="B558" s="379" t="s">
        <v>487</v>
      </c>
      <c r="C558" s="380" t="s">
        <v>912</v>
      </c>
      <c r="D558" s="381">
        <v>237686</v>
      </c>
      <c r="E558" s="381">
        <v>7</v>
      </c>
    </row>
    <row r="559" spans="1:5">
      <c r="A559" s="437" t="s">
        <v>477</v>
      </c>
      <c r="B559" s="379" t="s">
        <v>492</v>
      </c>
      <c r="C559" s="380" t="s">
        <v>909</v>
      </c>
      <c r="D559" s="381">
        <v>446774</v>
      </c>
      <c r="E559" s="381">
        <v>9</v>
      </c>
    </row>
    <row r="560" spans="1:5">
      <c r="A560" s="437" t="s">
        <v>477</v>
      </c>
      <c r="B560" s="398" t="s">
        <v>493</v>
      </c>
      <c r="C560" s="380"/>
      <c r="D560" s="399">
        <v>484932</v>
      </c>
      <c r="E560" s="381">
        <v>10</v>
      </c>
    </row>
    <row r="561" spans="1:5">
      <c r="A561" s="437" t="s">
        <v>477</v>
      </c>
      <c r="B561" s="379" t="s">
        <v>494</v>
      </c>
      <c r="C561" s="380"/>
      <c r="D561" s="381">
        <v>438708</v>
      </c>
      <c r="E561" s="381">
        <v>10</v>
      </c>
    </row>
    <row r="562" spans="1:5">
      <c r="A562" s="437" t="s">
        <v>477</v>
      </c>
      <c r="B562" s="379" t="s">
        <v>495</v>
      </c>
      <c r="C562" s="380"/>
      <c r="D562" s="381">
        <v>444954</v>
      </c>
      <c r="E562" s="381">
        <v>10</v>
      </c>
    </row>
    <row r="563" spans="1:5">
      <c r="A563" s="437" t="s">
        <v>477</v>
      </c>
      <c r="B563" s="379" t="s">
        <v>490</v>
      </c>
      <c r="C563" s="396"/>
      <c r="D563" s="381">
        <v>447582</v>
      </c>
      <c r="E563" s="381">
        <v>10</v>
      </c>
    </row>
    <row r="564" spans="1:5">
      <c r="A564" s="437" t="s">
        <v>477</v>
      </c>
      <c r="B564" s="379" t="s">
        <v>491</v>
      </c>
      <c r="C564" s="396"/>
      <c r="D564" s="381">
        <v>443492</v>
      </c>
      <c r="E564" s="381">
        <v>10</v>
      </c>
    </row>
    <row r="565" spans="1:5">
      <c r="A565" s="437" t="s">
        <v>477</v>
      </c>
      <c r="B565" s="379" t="s">
        <v>496</v>
      </c>
      <c r="C565" s="380"/>
      <c r="D565" s="381">
        <v>237817</v>
      </c>
      <c r="E565" s="381">
        <v>10</v>
      </c>
    </row>
    <row r="566" spans="1:5">
      <c r="A566" s="437" t="s">
        <v>477</v>
      </c>
      <c r="B566" s="379" t="s">
        <v>497</v>
      </c>
      <c r="C566" s="382"/>
      <c r="D566" s="381">
        <v>238014</v>
      </c>
      <c r="E566" s="381">
        <v>10</v>
      </c>
    </row>
    <row r="567" spans="1:5">
      <c r="A567" s="400" t="s">
        <v>477</v>
      </c>
      <c r="B567" s="355" t="s">
        <v>735</v>
      </c>
      <c r="C567" s="355"/>
      <c r="D567" s="358">
        <v>237729</v>
      </c>
      <c r="E567" s="400">
        <v>14</v>
      </c>
    </row>
    <row r="568" spans="1:5">
      <c r="A568" s="400" t="s">
        <v>477</v>
      </c>
      <c r="B568" s="355" t="s">
        <v>498</v>
      </c>
      <c r="C568" s="355"/>
      <c r="D568" s="358">
        <v>237172</v>
      </c>
      <c r="E568" s="400">
        <v>14</v>
      </c>
    </row>
    <row r="569" spans="1:5">
      <c r="A569" s="453" t="s">
        <v>477</v>
      </c>
      <c r="B569" s="355" t="s">
        <v>736</v>
      </c>
      <c r="C569" s="355"/>
      <c r="D569" s="358">
        <v>237224</v>
      </c>
      <c r="E569" s="400">
        <v>14</v>
      </c>
    </row>
    <row r="570" spans="1:5">
      <c r="A570" s="453" t="s">
        <v>477</v>
      </c>
      <c r="B570" s="355" t="s">
        <v>499</v>
      </c>
      <c r="C570" s="355"/>
      <c r="D570" s="358">
        <v>237242</v>
      </c>
      <c r="E570" s="400">
        <v>14</v>
      </c>
    </row>
    <row r="571" spans="1:5">
      <c r="A571" s="400" t="s">
        <v>477</v>
      </c>
      <c r="B571" s="355" t="s">
        <v>737</v>
      </c>
      <c r="C571" s="355"/>
      <c r="D571" s="358">
        <v>430795</v>
      </c>
      <c r="E571" s="400">
        <v>14</v>
      </c>
    </row>
    <row r="572" spans="1:5">
      <c r="A572" s="400" t="s">
        <v>477</v>
      </c>
      <c r="B572" s="355" t="s">
        <v>500</v>
      </c>
      <c r="C572" s="355"/>
      <c r="D572" s="358">
        <v>413176</v>
      </c>
      <c r="E572" s="400">
        <v>14</v>
      </c>
    </row>
    <row r="573" spans="1:5">
      <c r="A573" s="453" t="s">
        <v>477</v>
      </c>
      <c r="B573" s="355" t="s">
        <v>501</v>
      </c>
      <c r="C573" s="355"/>
      <c r="D573" s="358">
        <v>237844</v>
      </c>
      <c r="E573" s="400">
        <v>14</v>
      </c>
    </row>
    <row r="574" spans="1:5">
      <c r="A574" s="453" t="s">
        <v>477</v>
      </c>
      <c r="B574" s="355" t="s">
        <v>502</v>
      </c>
      <c r="C574" s="355"/>
      <c r="D574" s="358">
        <v>431169</v>
      </c>
      <c r="E574" s="400">
        <v>14</v>
      </c>
    </row>
    <row r="575" spans="1:5">
      <c r="A575" s="400" t="s">
        <v>477</v>
      </c>
      <c r="B575" s="355" t="s">
        <v>503</v>
      </c>
      <c r="C575" s="355"/>
      <c r="D575" s="358">
        <v>237473</v>
      </c>
      <c r="E575" s="400">
        <v>14</v>
      </c>
    </row>
    <row r="576" spans="1:5">
      <c r="A576" s="453" t="s">
        <v>477</v>
      </c>
      <c r="B576" s="355" t="s">
        <v>504</v>
      </c>
      <c r="C576" s="355"/>
      <c r="D576" s="358">
        <v>446349</v>
      </c>
      <c r="E576" s="400">
        <v>14</v>
      </c>
    </row>
    <row r="577" spans="1:5">
      <c r="A577" s="453" t="s">
        <v>477</v>
      </c>
      <c r="B577" s="355" t="s">
        <v>738</v>
      </c>
      <c r="C577" s="355"/>
      <c r="D577" s="358">
        <v>237516</v>
      </c>
      <c r="E577" s="400">
        <v>14</v>
      </c>
    </row>
    <row r="578" spans="1:5">
      <c r="A578" s="453" t="s">
        <v>477</v>
      </c>
      <c r="B578" s="355" t="s">
        <v>739</v>
      </c>
      <c r="C578" s="355"/>
      <c r="D578" s="358">
        <v>237534</v>
      </c>
      <c r="E578" s="400">
        <v>14</v>
      </c>
    </row>
    <row r="579" spans="1:5">
      <c r="A579" s="400" t="s">
        <v>477</v>
      </c>
      <c r="B579" s="355" t="s">
        <v>505</v>
      </c>
      <c r="C579" s="355"/>
      <c r="D579" s="358">
        <v>237543</v>
      </c>
      <c r="E579" s="400">
        <v>14</v>
      </c>
    </row>
    <row r="580" spans="1:5">
      <c r="A580" s="453" t="s">
        <v>477</v>
      </c>
      <c r="B580" s="355" t="s">
        <v>740</v>
      </c>
      <c r="C580" s="355"/>
      <c r="D580" s="358">
        <v>368647</v>
      </c>
      <c r="E580" s="400">
        <v>14</v>
      </c>
    </row>
    <row r="581" spans="1:5">
      <c r="A581" s="453" t="s">
        <v>477</v>
      </c>
      <c r="B581" s="355" t="s">
        <v>506</v>
      </c>
      <c r="C581" s="355"/>
      <c r="D581" s="358">
        <v>237561</v>
      </c>
      <c r="E581" s="400">
        <v>14</v>
      </c>
    </row>
    <row r="582" spans="1:5">
      <c r="A582" s="453" t="s">
        <v>477</v>
      </c>
      <c r="B582" s="355" t="s">
        <v>507</v>
      </c>
      <c r="C582" s="355"/>
      <c r="D582" s="358">
        <v>419420</v>
      </c>
      <c r="E582" s="400">
        <v>14</v>
      </c>
    </row>
    <row r="583" spans="1:5">
      <c r="A583" s="453" t="s">
        <v>477</v>
      </c>
      <c r="B583" s="355" t="s">
        <v>508</v>
      </c>
      <c r="C583" s="355"/>
      <c r="D583" s="358">
        <v>237491</v>
      </c>
      <c r="E583" s="400">
        <v>14</v>
      </c>
    </row>
    <row r="584" spans="1:5">
      <c r="A584" s="453" t="s">
        <v>477</v>
      </c>
      <c r="B584" s="355" t="s">
        <v>509</v>
      </c>
      <c r="C584" s="355"/>
      <c r="D584" s="358">
        <v>364575</v>
      </c>
      <c r="E584" s="400">
        <v>14</v>
      </c>
    </row>
    <row r="585" spans="1:5">
      <c r="A585" s="453" t="s">
        <v>477</v>
      </c>
      <c r="B585" s="355" t="s">
        <v>510</v>
      </c>
      <c r="C585" s="355"/>
      <c r="D585" s="358">
        <v>441894</v>
      </c>
      <c r="E585" s="400">
        <v>14</v>
      </c>
    </row>
    <row r="586" spans="1:5">
      <c r="A586" s="453" t="s">
        <v>477</v>
      </c>
      <c r="B586" s="355" t="s">
        <v>511</v>
      </c>
      <c r="C586" s="355"/>
      <c r="D586" s="358">
        <v>419031</v>
      </c>
      <c r="E586" s="400">
        <v>14</v>
      </c>
    </row>
    <row r="587" spans="1:5">
      <c r="A587" s="453" t="s">
        <v>477</v>
      </c>
      <c r="B587" s="355" t="s">
        <v>741</v>
      </c>
      <c r="C587" s="355"/>
      <c r="D587" s="361" t="s">
        <v>437</v>
      </c>
      <c r="E587" s="400">
        <v>14</v>
      </c>
    </row>
    <row r="588" spans="1:5">
      <c r="A588" s="453" t="s">
        <v>477</v>
      </c>
      <c r="B588" s="355" t="s">
        <v>742</v>
      </c>
      <c r="C588" s="355"/>
      <c r="D588" s="361" t="s">
        <v>437</v>
      </c>
      <c r="E588" s="400">
        <v>15</v>
      </c>
    </row>
    <row r="589" spans="1:5">
      <c r="A589" s="453" t="s">
        <v>477</v>
      </c>
      <c r="B589" s="355" t="s">
        <v>512</v>
      </c>
      <c r="C589" s="355"/>
      <c r="D589" s="358">
        <v>486202</v>
      </c>
      <c r="E589" s="400">
        <v>15</v>
      </c>
    </row>
    <row r="590" spans="1:5">
      <c r="A590" s="400" t="s">
        <v>477</v>
      </c>
      <c r="B590" s="355" t="s">
        <v>513</v>
      </c>
      <c r="C590" s="355"/>
      <c r="D590" s="358">
        <v>486406</v>
      </c>
      <c r="E590" s="400">
        <v>15</v>
      </c>
    </row>
    <row r="591" spans="1:5">
      <c r="A591" s="453" t="s">
        <v>477</v>
      </c>
      <c r="B591" s="355" t="s">
        <v>743</v>
      </c>
      <c r="C591" s="355"/>
      <c r="D591" s="361" t="s">
        <v>437</v>
      </c>
      <c r="E591" s="400">
        <v>15</v>
      </c>
    </row>
    <row r="592" spans="1:5">
      <c r="A592" s="400" t="s">
        <v>477</v>
      </c>
      <c r="B592" s="355" t="s">
        <v>514</v>
      </c>
      <c r="C592" s="355"/>
      <c r="D592" s="358">
        <v>238096</v>
      </c>
      <c r="E592" s="400">
        <v>15</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AD59-774D-4951-A781-DE16019A6B9D}">
  <sheetPr>
    <tabColor rgb="FFFFFF00"/>
  </sheetPr>
  <dimension ref="A3:W617"/>
  <sheetViews>
    <sheetView workbookViewId="0">
      <selection sqref="A1:XFD1048576"/>
    </sheetView>
  </sheetViews>
  <sheetFormatPr defaultColWidth="8.84375" defaultRowHeight="14.5"/>
  <cols>
    <col min="1" max="1" width="4.69140625" style="59" customWidth="1"/>
    <col min="2" max="2" width="16.84375" style="59" customWidth="1"/>
    <col min="3" max="9" width="10" style="59" customWidth="1"/>
    <col min="10" max="10" width="12.4609375" style="59" customWidth="1"/>
    <col min="11" max="14" width="8.69140625" style="59" customWidth="1"/>
    <col min="15" max="15" width="11.07421875" style="59" customWidth="1"/>
    <col min="16" max="17" width="8.765625" style="59" customWidth="1"/>
    <col min="18" max="18" width="11.3046875" style="59" customWidth="1"/>
    <col min="19" max="21" width="8.84375" style="59" customWidth="1"/>
    <col min="22" max="22" width="7.07421875" style="59" customWidth="1"/>
    <col min="23" max="16384" width="8.84375" style="59"/>
  </cols>
  <sheetData>
    <row r="3" spans="1:22">
      <c r="A3" s="55"/>
      <c r="B3" s="56"/>
      <c r="C3" s="55"/>
      <c r="D3" s="57"/>
      <c r="E3" s="57"/>
      <c r="F3" s="58"/>
      <c r="G3" s="58"/>
      <c r="H3" s="58"/>
      <c r="I3" s="58"/>
      <c r="J3" s="58"/>
      <c r="K3" s="58"/>
      <c r="L3" s="58"/>
      <c r="M3" s="58"/>
      <c r="N3" s="58"/>
      <c r="O3" s="58"/>
      <c r="P3" s="58"/>
      <c r="Q3" s="58"/>
      <c r="R3" s="58"/>
      <c r="S3" s="294"/>
      <c r="T3" s="294"/>
      <c r="U3" s="58"/>
      <c r="V3" s="295"/>
    </row>
    <row r="4" spans="1:22">
      <c r="A4" s="296"/>
      <c r="B4" s="297"/>
      <c r="C4" s="296"/>
      <c r="D4" s="298"/>
      <c r="E4" s="297"/>
      <c r="F4" s="297"/>
      <c r="G4" s="297"/>
      <c r="H4" s="297"/>
      <c r="I4" s="297"/>
      <c r="J4" s="55"/>
      <c r="K4" s="299"/>
      <c r="L4" s="298"/>
      <c r="M4" s="297"/>
      <c r="N4" s="297"/>
      <c r="O4" s="55"/>
      <c r="P4" s="55"/>
      <c r="Q4" s="56"/>
      <c r="R4" s="55"/>
      <c r="S4" s="300"/>
      <c r="T4" s="300"/>
      <c r="U4" s="301"/>
      <c r="V4" s="295"/>
    </row>
    <row r="5" spans="1:22">
      <c r="A5" s="55"/>
      <c r="B5" s="55"/>
      <c r="C5" s="55"/>
      <c r="D5" s="60"/>
      <c r="E5" s="60"/>
      <c r="F5" s="60"/>
      <c r="G5" s="60"/>
      <c r="H5" s="60"/>
      <c r="I5" s="60"/>
      <c r="J5" s="61"/>
      <c r="K5" s="302"/>
      <c r="L5" s="60"/>
      <c r="M5" s="60"/>
      <c r="N5" s="60"/>
      <c r="O5" s="61"/>
      <c r="P5" s="303"/>
      <c r="R5" s="61"/>
      <c r="S5" s="304"/>
      <c r="T5" s="304"/>
      <c r="U5" s="305"/>
      <c r="V5" s="295"/>
    </row>
    <row r="6" spans="1:22">
      <c r="A6" s="306"/>
      <c r="B6" s="55"/>
      <c r="C6" s="307"/>
      <c r="D6" s="308"/>
      <c r="E6" s="308"/>
      <c r="F6" s="308"/>
      <c r="G6" s="308"/>
      <c r="H6" s="308"/>
      <c r="I6" s="308"/>
      <c r="J6" s="309"/>
      <c r="K6" s="309"/>
      <c r="L6" s="308"/>
      <c r="M6" s="308"/>
      <c r="N6" s="308"/>
      <c r="O6" s="309"/>
      <c r="P6" s="309"/>
      <c r="Q6" s="308"/>
      <c r="R6" s="309"/>
      <c r="S6" s="309"/>
      <c r="T6" s="309"/>
      <c r="U6" s="309"/>
      <c r="V6" s="295"/>
    </row>
    <row r="7" spans="1:22">
      <c r="A7" s="310"/>
      <c r="B7" s="311"/>
      <c r="C7" s="312"/>
      <c r="D7" s="313"/>
      <c r="E7" s="313"/>
      <c r="F7" s="313"/>
      <c r="G7" s="313"/>
      <c r="H7" s="313"/>
      <c r="I7" s="313"/>
      <c r="J7" s="314"/>
      <c r="K7" s="314"/>
      <c r="L7" s="313"/>
      <c r="M7" s="313"/>
      <c r="N7" s="313"/>
      <c r="O7" s="314"/>
      <c r="P7" s="314"/>
      <c r="Q7" s="313"/>
      <c r="R7" s="314"/>
      <c r="S7" s="314"/>
      <c r="T7" s="314"/>
      <c r="U7" s="314"/>
      <c r="V7" s="315"/>
    </row>
    <row r="8" spans="1:22">
      <c r="A8" s="310"/>
      <c r="B8" s="316"/>
      <c r="C8" s="317"/>
      <c r="D8" s="318"/>
      <c r="E8" s="318"/>
      <c r="F8" s="318"/>
      <c r="G8" s="318"/>
      <c r="H8" s="318"/>
      <c r="I8" s="318"/>
      <c r="J8" s="319"/>
      <c r="K8" s="319"/>
      <c r="L8" s="318"/>
      <c r="M8" s="318"/>
      <c r="N8" s="318"/>
      <c r="O8" s="319"/>
      <c r="P8" s="319"/>
      <c r="Q8" s="318"/>
      <c r="R8" s="319"/>
      <c r="S8" s="319"/>
      <c r="T8" s="319"/>
      <c r="U8" s="319"/>
      <c r="V8" s="315"/>
    </row>
    <row r="9" spans="1:22">
      <c r="A9" s="310"/>
      <c r="B9" s="55"/>
      <c r="C9" s="307"/>
      <c r="D9" s="308"/>
      <c r="E9" s="308"/>
      <c r="F9" s="308"/>
      <c r="G9" s="308"/>
      <c r="H9" s="308"/>
      <c r="I9" s="308"/>
      <c r="J9" s="309"/>
      <c r="K9" s="309"/>
      <c r="L9" s="308"/>
      <c r="M9" s="308"/>
      <c r="N9" s="308"/>
      <c r="O9" s="309"/>
      <c r="P9" s="309"/>
      <c r="Q9" s="308"/>
      <c r="R9" s="309"/>
      <c r="S9" s="309"/>
      <c r="T9" s="309"/>
      <c r="U9" s="309"/>
      <c r="V9" s="315"/>
    </row>
    <row r="10" spans="1:22">
      <c r="A10" s="310"/>
      <c r="B10" s="311"/>
      <c r="C10" s="312"/>
      <c r="D10" s="313"/>
      <c r="E10" s="313"/>
      <c r="F10" s="313"/>
      <c r="G10" s="313"/>
      <c r="H10" s="313"/>
      <c r="I10" s="313"/>
      <c r="J10" s="314"/>
      <c r="K10" s="314"/>
      <c r="L10" s="313"/>
      <c r="M10" s="313"/>
      <c r="N10" s="313"/>
      <c r="O10" s="314"/>
      <c r="P10" s="314"/>
      <c r="Q10" s="313"/>
      <c r="R10" s="314"/>
      <c r="S10" s="314"/>
      <c r="T10" s="314"/>
      <c r="U10" s="314"/>
      <c r="V10" s="315"/>
    </row>
    <row r="11" spans="1:22">
      <c r="A11" s="310"/>
      <c r="B11" s="316"/>
      <c r="C11" s="317"/>
      <c r="D11" s="318"/>
      <c r="E11" s="318"/>
      <c r="F11" s="318"/>
      <c r="G11" s="318"/>
      <c r="H11" s="318"/>
      <c r="I11" s="318"/>
      <c r="J11" s="320"/>
      <c r="K11" s="320"/>
      <c r="L11" s="318"/>
      <c r="M11" s="318"/>
      <c r="N11" s="318"/>
      <c r="O11" s="320"/>
      <c r="P11" s="320"/>
      <c r="Q11" s="318"/>
      <c r="R11" s="320"/>
      <c r="S11" s="320"/>
      <c r="T11" s="320"/>
      <c r="U11" s="320"/>
      <c r="V11" s="315"/>
    </row>
    <row r="12" spans="1:22">
      <c r="A12" s="310"/>
      <c r="B12" s="55"/>
      <c r="C12" s="307"/>
      <c r="D12" s="308"/>
      <c r="E12" s="308"/>
      <c r="F12" s="308"/>
      <c r="G12" s="308"/>
      <c r="H12" s="308"/>
      <c r="I12" s="308"/>
      <c r="J12" s="309"/>
      <c r="K12" s="309"/>
      <c r="L12" s="308"/>
      <c r="M12" s="308"/>
      <c r="N12" s="308"/>
      <c r="O12" s="309"/>
      <c r="P12" s="309"/>
      <c r="Q12" s="308"/>
      <c r="R12" s="309"/>
      <c r="S12" s="309"/>
      <c r="T12" s="309"/>
      <c r="U12" s="309"/>
      <c r="V12" s="315"/>
    </row>
    <row r="13" spans="1:22">
      <c r="A13" s="310"/>
      <c r="B13" s="311"/>
      <c r="C13" s="312"/>
      <c r="D13" s="313"/>
      <c r="E13" s="313"/>
      <c r="F13" s="313"/>
      <c r="G13" s="313"/>
      <c r="H13" s="313"/>
      <c r="I13" s="313"/>
      <c r="J13" s="314"/>
      <c r="K13" s="314"/>
      <c r="L13" s="313"/>
      <c r="M13" s="313"/>
      <c r="N13" s="313"/>
      <c r="O13" s="314"/>
      <c r="P13" s="314"/>
      <c r="Q13" s="313"/>
      <c r="R13" s="314"/>
      <c r="S13" s="314"/>
      <c r="T13" s="314"/>
      <c r="U13" s="314"/>
      <c r="V13" s="315"/>
    </row>
    <row r="14" spans="1:22" s="321" customFormat="1">
      <c r="A14" s="310"/>
      <c r="B14" s="316"/>
      <c r="C14" s="317"/>
      <c r="D14" s="318"/>
      <c r="E14" s="318"/>
      <c r="F14" s="318"/>
      <c r="G14" s="318"/>
      <c r="H14" s="318"/>
      <c r="I14" s="318"/>
      <c r="J14" s="320"/>
      <c r="K14" s="320"/>
      <c r="L14" s="318"/>
      <c r="M14" s="318"/>
      <c r="N14" s="318"/>
      <c r="O14" s="320"/>
      <c r="P14" s="320"/>
      <c r="Q14" s="318"/>
      <c r="R14" s="320"/>
      <c r="S14" s="320"/>
      <c r="T14" s="320"/>
      <c r="U14" s="320"/>
      <c r="V14" s="315"/>
    </row>
    <row r="15" spans="1:22">
      <c r="A15" s="310"/>
      <c r="B15" s="55"/>
      <c r="C15" s="307"/>
      <c r="D15" s="308"/>
      <c r="E15" s="308"/>
      <c r="F15" s="308"/>
      <c r="G15" s="308"/>
      <c r="H15" s="308"/>
      <c r="I15" s="308"/>
      <c r="J15" s="309"/>
      <c r="K15" s="309"/>
      <c r="L15" s="308"/>
      <c r="M15" s="308"/>
      <c r="N15" s="308"/>
      <c r="O15" s="309"/>
      <c r="P15" s="309"/>
      <c r="Q15" s="308"/>
      <c r="R15" s="309"/>
      <c r="S15" s="309"/>
      <c r="T15" s="309"/>
      <c r="U15" s="309"/>
      <c r="V15" s="315"/>
    </row>
    <row r="16" spans="1:22">
      <c r="A16" s="310"/>
      <c r="B16" s="311"/>
      <c r="C16" s="312"/>
      <c r="D16" s="313"/>
      <c r="E16" s="313"/>
      <c r="F16" s="313"/>
      <c r="G16" s="313"/>
      <c r="H16" s="313"/>
      <c r="I16" s="313"/>
      <c r="J16" s="314"/>
      <c r="K16" s="314"/>
      <c r="L16" s="313"/>
      <c r="M16" s="313"/>
      <c r="N16" s="313"/>
      <c r="O16" s="314"/>
      <c r="P16" s="314"/>
      <c r="Q16" s="313"/>
      <c r="R16" s="314"/>
      <c r="S16" s="314"/>
      <c r="T16" s="314"/>
      <c r="U16" s="314"/>
      <c r="V16" s="315"/>
    </row>
    <row r="17" spans="1:22">
      <c r="A17" s="310"/>
      <c r="B17" s="316"/>
      <c r="C17" s="317"/>
      <c r="D17" s="318"/>
      <c r="E17" s="318"/>
      <c r="F17" s="318"/>
      <c r="G17" s="318"/>
      <c r="H17" s="318"/>
      <c r="I17" s="318"/>
      <c r="J17" s="320"/>
      <c r="K17" s="320"/>
      <c r="L17" s="318"/>
      <c r="M17" s="318"/>
      <c r="N17" s="318"/>
      <c r="O17" s="320"/>
      <c r="P17" s="320"/>
      <c r="Q17" s="318"/>
      <c r="R17" s="320"/>
      <c r="S17" s="320"/>
      <c r="T17" s="320"/>
      <c r="U17" s="320"/>
      <c r="V17" s="315"/>
    </row>
    <row r="18" spans="1:22">
      <c r="A18" s="310"/>
      <c r="B18" s="55"/>
      <c r="C18" s="307"/>
      <c r="D18" s="308"/>
      <c r="E18" s="308"/>
      <c r="F18" s="308"/>
      <c r="G18" s="308"/>
      <c r="H18" s="308"/>
      <c r="I18" s="308"/>
      <c r="J18" s="309"/>
      <c r="K18" s="309"/>
      <c r="L18" s="308"/>
      <c r="M18" s="308"/>
      <c r="N18" s="308"/>
      <c r="O18" s="309"/>
      <c r="P18" s="309"/>
      <c r="Q18" s="308"/>
      <c r="R18" s="309"/>
      <c r="S18" s="309"/>
      <c r="T18" s="309"/>
      <c r="U18" s="309"/>
      <c r="V18" s="315"/>
    </row>
    <row r="19" spans="1:22">
      <c r="A19" s="310"/>
      <c r="B19" s="311"/>
      <c r="C19" s="312"/>
      <c r="D19" s="313"/>
      <c r="E19" s="313"/>
      <c r="F19" s="313"/>
      <c r="G19" s="313"/>
      <c r="H19" s="313"/>
      <c r="I19" s="313"/>
      <c r="J19" s="314"/>
      <c r="K19" s="314"/>
      <c r="L19" s="313"/>
      <c r="M19" s="313"/>
      <c r="N19" s="313"/>
      <c r="O19" s="314"/>
      <c r="P19" s="314"/>
      <c r="Q19" s="313"/>
      <c r="R19" s="314"/>
      <c r="S19" s="314"/>
      <c r="T19" s="314"/>
      <c r="U19" s="314"/>
      <c r="V19" s="315"/>
    </row>
    <row r="20" spans="1:22">
      <c r="A20" s="310"/>
      <c r="B20" s="316"/>
      <c r="C20" s="317"/>
      <c r="D20" s="318"/>
      <c r="E20" s="318"/>
      <c r="F20" s="318"/>
      <c r="G20" s="318"/>
      <c r="H20" s="318"/>
      <c r="I20" s="318"/>
      <c r="J20" s="320"/>
      <c r="K20" s="320"/>
      <c r="L20" s="318"/>
      <c r="M20" s="318"/>
      <c r="N20" s="318"/>
      <c r="O20" s="320"/>
      <c r="P20" s="320"/>
      <c r="Q20" s="318"/>
      <c r="R20" s="320"/>
      <c r="S20" s="320"/>
      <c r="T20" s="320"/>
      <c r="U20" s="320"/>
      <c r="V20" s="315"/>
    </row>
    <row r="21" spans="1:22">
      <c r="A21" s="310"/>
      <c r="B21" s="55"/>
      <c r="C21" s="307"/>
      <c r="D21" s="308"/>
      <c r="E21" s="308"/>
      <c r="F21" s="308"/>
      <c r="G21" s="308"/>
      <c r="H21" s="308"/>
      <c r="I21" s="308"/>
      <c r="J21" s="309"/>
      <c r="K21" s="309"/>
      <c r="L21" s="308"/>
      <c r="M21" s="308"/>
      <c r="N21" s="308"/>
      <c r="O21" s="309"/>
      <c r="P21" s="309"/>
      <c r="Q21" s="308"/>
      <c r="R21" s="309"/>
      <c r="S21" s="309"/>
      <c r="T21" s="309"/>
      <c r="U21" s="309"/>
      <c r="V21" s="315"/>
    </row>
    <row r="22" spans="1:22">
      <c r="A22" s="310"/>
      <c r="B22" s="311"/>
      <c r="C22" s="312"/>
      <c r="D22" s="313"/>
      <c r="E22" s="313"/>
      <c r="F22" s="313"/>
      <c r="G22" s="313"/>
      <c r="H22" s="313"/>
      <c r="I22" s="313"/>
      <c r="J22" s="314"/>
      <c r="K22" s="314"/>
      <c r="L22" s="313"/>
      <c r="M22" s="313"/>
      <c r="N22" s="313"/>
      <c r="O22" s="314"/>
      <c r="P22" s="314"/>
      <c r="Q22" s="313"/>
      <c r="R22" s="314"/>
      <c r="S22" s="314"/>
      <c r="T22" s="314"/>
      <c r="U22" s="314"/>
      <c r="V22" s="315"/>
    </row>
    <row r="23" spans="1:22" ht="15" thickBot="1">
      <c r="A23" s="310"/>
      <c r="B23" s="322"/>
      <c r="C23" s="323"/>
      <c r="D23" s="324"/>
      <c r="E23" s="324"/>
      <c r="F23" s="324"/>
      <c r="G23" s="324"/>
      <c r="H23" s="324"/>
      <c r="I23" s="324"/>
      <c r="J23" s="325"/>
      <c r="K23" s="325"/>
      <c r="L23" s="324"/>
      <c r="M23" s="324"/>
      <c r="N23" s="324"/>
      <c r="O23" s="325"/>
      <c r="P23" s="325"/>
      <c r="Q23" s="324"/>
      <c r="R23" s="325"/>
      <c r="S23" s="325"/>
      <c r="T23" s="325"/>
      <c r="U23" s="325"/>
      <c r="V23" s="315"/>
    </row>
    <row r="24" spans="1:22" ht="15" thickTop="1">
      <c r="A24" s="310"/>
      <c r="B24" s="311"/>
      <c r="C24" s="312"/>
      <c r="D24" s="313"/>
      <c r="E24" s="313"/>
      <c r="F24" s="313"/>
      <c r="G24" s="313"/>
      <c r="H24" s="313"/>
      <c r="I24" s="313"/>
      <c r="J24" s="314"/>
      <c r="K24" s="314"/>
      <c r="L24" s="313"/>
      <c r="M24" s="313"/>
      <c r="N24" s="313"/>
      <c r="O24" s="314"/>
      <c r="P24" s="314"/>
      <c r="Q24" s="313"/>
      <c r="R24" s="314"/>
      <c r="S24" s="314"/>
      <c r="T24" s="314"/>
      <c r="U24" s="314"/>
      <c r="V24" s="315"/>
    </row>
    <row r="25" spans="1:22">
      <c r="A25" s="310"/>
      <c r="B25" s="311"/>
      <c r="C25" s="312"/>
      <c r="D25" s="313"/>
      <c r="E25" s="313"/>
      <c r="F25" s="313"/>
      <c r="G25" s="313"/>
      <c r="H25" s="313"/>
      <c r="I25" s="313"/>
      <c r="J25" s="314"/>
      <c r="K25" s="314"/>
      <c r="L25" s="313"/>
      <c r="M25" s="313"/>
      <c r="N25" s="313"/>
      <c r="O25" s="314"/>
      <c r="P25" s="314"/>
      <c r="Q25" s="313"/>
      <c r="R25" s="314"/>
      <c r="S25" s="314"/>
      <c r="T25" s="314"/>
      <c r="U25" s="314"/>
      <c r="V25" s="315"/>
    </row>
    <row r="26" spans="1:22">
      <c r="A26" s="310"/>
      <c r="B26" s="316"/>
      <c r="C26" s="317"/>
      <c r="D26" s="318"/>
      <c r="E26" s="318"/>
      <c r="F26" s="318"/>
      <c r="G26" s="318"/>
      <c r="H26" s="318"/>
      <c r="I26" s="318"/>
      <c r="J26" s="320"/>
      <c r="K26" s="320"/>
      <c r="L26" s="318"/>
      <c r="M26" s="318"/>
      <c r="N26" s="318"/>
      <c r="O26" s="320"/>
      <c r="P26" s="320"/>
      <c r="Q26" s="318"/>
      <c r="R26" s="320"/>
      <c r="S26" s="320"/>
      <c r="T26" s="320"/>
      <c r="U26" s="320"/>
      <c r="V26" s="315"/>
    </row>
    <row r="27" spans="1:22">
      <c r="A27" s="310"/>
      <c r="B27" s="55"/>
      <c r="C27" s="307"/>
      <c r="D27" s="308"/>
      <c r="E27" s="308"/>
      <c r="F27" s="308"/>
      <c r="G27" s="308"/>
      <c r="H27" s="308"/>
      <c r="I27" s="308"/>
      <c r="J27" s="309"/>
      <c r="K27" s="309"/>
      <c r="L27" s="308"/>
      <c r="M27" s="308"/>
      <c r="N27" s="308"/>
      <c r="O27" s="309"/>
      <c r="P27" s="309"/>
      <c r="Q27" s="308"/>
      <c r="R27" s="309"/>
      <c r="S27" s="309"/>
      <c r="T27" s="309"/>
      <c r="U27" s="309"/>
      <c r="V27" s="315"/>
    </row>
    <row r="28" spans="1:22">
      <c r="A28" s="310"/>
      <c r="B28" s="311"/>
      <c r="C28" s="312"/>
      <c r="D28" s="313"/>
      <c r="E28" s="313"/>
      <c r="F28" s="313"/>
      <c r="G28" s="313"/>
      <c r="H28" s="313"/>
      <c r="I28" s="313"/>
      <c r="J28" s="314"/>
      <c r="K28" s="314"/>
      <c r="L28" s="313"/>
      <c r="M28" s="313"/>
      <c r="N28" s="313"/>
      <c r="O28" s="314"/>
      <c r="P28" s="314"/>
      <c r="Q28" s="313"/>
      <c r="R28" s="314"/>
      <c r="S28" s="314"/>
      <c r="T28" s="314"/>
      <c r="U28" s="314"/>
      <c r="V28" s="315"/>
    </row>
    <row r="29" spans="1:22">
      <c r="A29" s="310"/>
      <c r="B29" s="316"/>
      <c r="C29" s="317"/>
      <c r="D29" s="318"/>
      <c r="E29" s="318"/>
      <c r="F29" s="318"/>
      <c r="G29" s="318"/>
      <c r="H29" s="318"/>
      <c r="I29" s="318"/>
      <c r="J29" s="320"/>
      <c r="K29" s="320"/>
      <c r="L29" s="318"/>
      <c r="M29" s="318"/>
      <c r="N29" s="318"/>
      <c r="O29" s="320"/>
      <c r="P29" s="320"/>
      <c r="Q29" s="318"/>
      <c r="R29" s="320"/>
      <c r="S29" s="320"/>
      <c r="T29" s="320"/>
      <c r="U29" s="320"/>
      <c r="V29" s="315"/>
    </row>
    <row r="30" spans="1:22">
      <c r="A30" s="310"/>
      <c r="B30" s="55"/>
      <c r="C30" s="307"/>
      <c r="D30" s="308"/>
      <c r="E30" s="308"/>
      <c r="F30" s="308"/>
      <c r="G30" s="308"/>
      <c r="H30" s="308"/>
      <c r="I30" s="308"/>
      <c r="J30" s="309"/>
      <c r="K30" s="309"/>
      <c r="L30" s="308"/>
      <c r="M30" s="308"/>
      <c r="N30" s="308"/>
      <c r="O30" s="309"/>
      <c r="P30" s="309"/>
      <c r="Q30" s="308"/>
      <c r="R30" s="309"/>
      <c r="S30" s="309"/>
      <c r="T30" s="309"/>
      <c r="U30" s="309"/>
      <c r="V30" s="315"/>
    </row>
    <row r="31" spans="1:22">
      <c r="A31" s="310"/>
      <c r="B31" s="311"/>
      <c r="C31" s="312"/>
      <c r="D31" s="313"/>
      <c r="E31" s="313"/>
      <c r="F31" s="313"/>
      <c r="G31" s="313"/>
      <c r="H31" s="313"/>
      <c r="I31" s="313"/>
      <c r="J31" s="314"/>
      <c r="K31" s="314"/>
      <c r="L31" s="313"/>
      <c r="M31" s="313"/>
      <c r="N31" s="313"/>
      <c r="O31" s="314"/>
      <c r="P31" s="314"/>
      <c r="Q31" s="313"/>
      <c r="R31" s="314"/>
      <c r="S31" s="314"/>
      <c r="T31" s="314"/>
      <c r="U31" s="314"/>
      <c r="V31" s="315"/>
    </row>
    <row r="32" spans="1:22">
      <c r="A32" s="310"/>
      <c r="B32" s="316"/>
      <c r="C32" s="317"/>
      <c r="D32" s="318"/>
      <c r="E32" s="318"/>
      <c r="F32" s="318"/>
      <c r="G32" s="318"/>
      <c r="H32" s="318"/>
      <c r="I32" s="318"/>
      <c r="J32" s="320"/>
      <c r="K32" s="320"/>
      <c r="L32" s="318"/>
      <c r="M32" s="318"/>
      <c r="N32" s="318"/>
      <c r="O32" s="320"/>
      <c r="P32" s="320"/>
      <c r="Q32" s="318"/>
      <c r="R32" s="320"/>
      <c r="S32" s="320"/>
      <c r="T32" s="320"/>
      <c r="U32" s="320"/>
      <c r="V32" s="315"/>
    </row>
    <row r="33" spans="1:22">
      <c r="A33" s="310"/>
      <c r="B33" s="55"/>
      <c r="C33" s="307"/>
      <c r="D33" s="308"/>
      <c r="E33" s="308"/>
      <c r="F33" s="308"/>
      <c r="G33" s="308"/>
      <c r="H33" s="308"/>
      <c r="I33" s="308"/>
      <c r="J33" s="309"/>
      <c r="K33" s="309"/>
      <c r="L33" s="308"/>
      <c r="M33" s="308"/>
      <c r="N33" s="308"/>
      <c r="O33" s="309"/>
      <c r="P33" s="309"/>
      <c r="Q33" s="308"/>
      <c r="R33" s="309"/>
      <c r="S33" s="309"/>
      <c r="T33" s="309"/>
      <c r="U33" s="309"/>
      <c r="V33" s="315"/>
    </row>
    <row r="34" spans="1:22">
      <c r="A34" s="310"/>
      <c r="B34" s="311"/>
      <c r="C34" s="312"/>
      <c r="D34" s="313"/>
      <c r="E34" s="313"/>
      <c r="F34" s="313"/>
      <c r="G34" s="313"/>
      <c r="H34" s="313"/>
      <c r="I34" s="313"/>
      <c r="J34" s="314"/>
      <c r="K34" s="314"/>
      <c r="L34" s="313"/>
      <c r="M34" s="313"/>
      <c r="N34" s="313"/>
      <c r="O34" s="314"/>
      <c r="P34" s="314"/>
      <c r="Q34" s="313"/>
      <c r="R34" s="314"/>
      <c r="S34" s="314"/>
      <c r="T34" s="314"/>
      <c r="U34" s="314"/>
      <c r="V34" s="315"/>
    </row>
    <row r="35" spans="1:22">
      <c r="A35" s="310"/>
      <c r="B35" s="316"/>
      <c r="C35" s="317"/>
      <c r="D35" s="318"/>
      <c r="E35" s="318"/>
      <c r="F35" s="318"/>
      <c r="G35" s="318"/>
      <c r="H35" s="318"/>
      <c r="I35" s="318"/>
      <c r="J35" s="320"/>
      <c r="K35" s="320"/>
      <c r="L35" s="318"/>
      <c r="M35" s="318"/>
      <c r="N35" s="318"/>
      <c r="O35" s="320"/>
      <c r="P35" s="320"/>
      <c r="Q35" s="318"/>
      <c r="R35" s="320"/>
      <c r="S35" s="320"/>
      <c r="T35" s="320"/>
      <c r="U35" s="320"/>
      <c r="V35" s="315"/>
    </row>
    <row r="36" spans="1:22">
      <c r="A36" s="310"/>
      <c r="B36" s="55"/>
      <c r="C36" s="307"/>
      <c r="D36" s="308"/>
      <c r="E36" s="308"/>
      <c r="F36" s="308"/>
      <c r="G36" s="308"/>
      <c r="H36" s="308"/>
      <c r="I36" s="308"/>
      <c r="J36" s="309"/>
      <c r="K36" s="309"/>
      <c r="L36" s="308"/>
      <c r="M36" s="308"/>
      <c r="N36" s="308"/>
      <c r="O36" s="309"/>
      <c r="P36" s="309"/>
      <c r="Q36" s="308"/>
      <c r="R36" s="309"/>
      <c r="S36" s="309"/>
      <c r="T36" s="309"/>
      <c r="U36" s="309"/>
      <c r="V36" s="315"/>
    </row>
    <row r="37" spans="1:22">
      <c r="A37" s="310"/>
      <c r="B37" s="311"/>
      <c r="C37" s="312"/>
      <c r="D37" s="313"/>
      <c r="E37" s="313"/>
      <c r="F37" s="313"/>
      <c r="G37" s="313"/>
      <c r="H37" s="313"/>
      <c r="I37" s="313"/>
      <c r="J37" s="314"/>
      <c r="K37" s="314"/>
      <c r="L37" s="313"/>
      <c r="M37" s="313"/>
      <c r="N37" s="313"/>
      <c r="O37" s="314"/>
      <c r="P37" s="314"/>
      <c r="Q37" s="313"/>
      <c r="R37" s="314"/>
      <c r="S37" s="314"/>
      <c r="T37" s="314"/>
      <c r="U37" s="314"/>
      <c r="V37" s="315"/>
    </row>
    <row r="38" spans="1:22">
      <c r="A38" s="310"/>
      <c r="B38" s="316"/>
      <c r="C38" s="317"/>
      <c r="D38" s="318"/>
      <c r="E38" s="318"/>
      <c r="F38" s="318"/>
      <c r="G38" s="318"/>
      <c r="H38" s="318"/>
      <c r="I38" s="318"/>
      <c r="J38" s="320"/>
      <c r="K38" s="320"/>
      <c r="L38" s="318"/>
      <c r="M38" s="318"/>
      <c r="N38" s="318"/>
      <c r="O38" s="320"/>
      <c r="P38" s="320"/>
      <c r="Q38" s="318"/>
      <c r="R38" s="320"/>
      <c r="S38" s="320"/>
      <c r="T38" s="320"/>
      <c r="U38" s="320"/>
      <c r="V38" s="315"/>
    </row>
    <row r="39" spans="1:22">
      <c r="A39" s="310"/>
      <c r="B39" s="55"/>
      <c r="C39" s="307"/>
      <c r="D39" s="308"/>
      <c r="E39" s="308"/>
      <c r="F39" s="308"/>
      <c r="G39" s="308"/>
      <c r="H39" s="308"/>
      <c r="I39" s="308"/>
      <c r="J39" s="309"/>
      <c r="K39" s="309"/>
      <c r="L39" s="308"/>
      <c r="M39" s="308"/>
      <c r="N39" s="308"/>
      <c r="O39" s="309"/>
      <c r="P39" s="309"/>
      <c r="Q39" s="308"/>
      <c r="R39" s="309"/>
      <c r="S39" s="309"/>
      <c r="T39" s="309"/>
      <c r="U39" s="309"/>
      <c r="V39" s="315"/>
    </row>
    <row r="40" spans="1:22">
      <c r="A40" s="310"/>
      <c r="B40" s="311"/>
      <c r="C40" s="312"/>
      <c r="D40" s="313"/>
      <c r="E40" s="313"/>
      <c r="F40" s="313"/>
      <c r="G40" s="313"/>
      <c r="H40" s="313"/>
      <c r="I40" s="313"/>
      <c r="J40" s="314"/>
      <c r="K40" s="314"/>
      <c r="L40" s="313"/>
      <c r="M40" s="313"/>
      <c r="N40" s="313"/>
      <c r="O40" s="314"/>
      <c r="P40" s="314"/>
      <c r="Q40" s="313"/>
      <c r="R40" s="314"/>
      <c r="S40" s="314"/>
      <c r="T40" s="314"/>
      <c r="U40" s="314"/>
      <c r="V40" s="315"/>
    </row>
    <row r="41" spans="1:22" ht="15" thickBot="1">
      <c r="A41" s="326"/>
      <c r="B41" s="327"/>
      <c r="C41" s="328"/>
      <c r="D41" s="329"/>
      <c r="E41" s="329"/>
      <c r="F41" s="329"/>
      <c r="G41" s="329"/>
      <c r="H41" s="329"/>
      <c r="I41" s="329"/>
      <c r="J41" s="330"/>
      <c r="K41" s="330"/>
      <c r="L41" s="329"/>
      <c r="M41" s="329"/>
      <c r="N41" s="329"/>
      <c r="O41" s="330"/>
      <c r="P41" s="330"/>
      <c r="Q41" s="329"/>
      <c r="R41" s="330"/>
      <c r="S41" s="330"/>
      <c r="T41" s="330"/>
      <c r="U41" s="330"/>
      <c r="V41" s="315"/>
    </row>
    <row r="42" spans="1:22">
      <c r="A42" s="331"/>
      <c r="B42" s="311"/>
      <c r="C42" s="312"/>
      <c r="D42" s="313"/>
      <c r="E42" s="313"/>
      <c r="F42" s="313"/>
      <c r="G42" s="313"/>
      <c r="H42" s="313"/>
      <c r="I42" s="313"/>
      <c r="J42" s="314"/>
      <c r="K42" s="314"/>
      <c r="L42" s="313"/>
      <c r="M42" s="313"/>
      <c r="N42" s="313"/>
      <c r="O42" s="314"/>
      <c r="P42" s="314"/>
      <c r="Q42" s="313"/>
      <c r="R42" s="314"/>
      <c r="S42" s="314"/>
      <c r="T42" s="314"/>
      <c r="U42" s="314"/>
      <c r="V42" s="315"/>
    </row>
    <row r="43" spans="1:22">
      <c r="A43" s="310"/>
      <c r="B43" s="311"/>
      <c r="C43" s="312"/>
      <c r="D43" s="313"/>
      <c r="E43" s="313"/>
      <c r="F43" s="313"/>
      <c r="G43" s="313"/>
      <c r="H43" s="313"/>
      <c r="I43" s="313"/>
      <c r="J43" s="314"/>
      <c r="K43" s="314"/>
      <c r="L43" s="313"/>
      <c r="M43" s="313"/>
      <c r="N43" s="313"/>
      <c r="O43" s="314"/>
      <c r="P43" s="314"/>
      <c r="Q43" s="313"/>
      <c r="R43" s="314"/>
      <c r="S43" s="314"/>
      <c r="T43" s="314"/>
      <c r="U43" s="314"/>
      <c r="V43" s="315"/>
    </row>
    <row r="44" spans="1:22">
      <c r="A44" s="310"/>
      <c r="B44" s="316"/>
      <c r="C44" s="317"/>
      <c r="D44" s="318"/>
      <c r="E44" s="318"/>
      <c r="F44" s="318"/>
      <c r="G44" s="318"/>
      <c r="H44" s="318"/>
      <c r="I44" s="318"/>
      <c r="J44" s="320"/>
      <c r="K44" s="320"/>
      <c r="L44" s="318"/>
      <c r="M44" s="318"/>
      <c r="N44" s="318"/>
      <c r="O44" s="320"/>
      <c r="P44" s="320"/>
      <c r="Q44" s="318"/>
      <c r="R44" s="320"/>
      <c r="S44" s="320"/>
      <c r="T44" s="320"/>
      <c r="U44" s="320"/>
      <c r="V44" s="315"/>
    </row>
    <row r="45" spans="1:22">
      <c r="A45" s="310"/>
      <c r="B45" s="55"/>
      <c r="C45" s="307"/>
      <c r="D45" s="308"/>
      <c r="E45" s="308"/>
      <c r="F45" s="308"/>
      <c r="G45" s="308"/>
      <c r="H45" s="308"/>
      <c r="I45" s="308"/>
      <c r="J45" s="309"/>
      <c r="K45" s="309"/>
      <c r="L45" s="308"/>
      <c r="M45" s="308"/>
      <c r="N45" s="308"/>
      <c r="O45" s="309"/>
      <c r="P45" s="309"/>
      <c r="Q45" s="308"/>
      <c r="R45" s="309"/>
      <c r="S45" s="309"/>
      <c r="T45" s="309"/>
      <c r="U45" s="309"/>
      <c r="V45" s="315"/>
    </row>
    <row r="46" spans="1:22">
      <c r="A46" s="310"/>
      <c r="B46" s="311"/>
      <c r="C46" s="312"/>
      <c r="D46" s="313"/>
      <c r="E46" s="313"/>
      <c r="F46" s="313"/>
      <c r="G46" s="313"/>
      <c r="H46" s="313"/>
      <c r="I46" s="313"/>
      <c r="J46" s="314"/>
      <c r="K46" s="314"/>
      <c r="L46" s="313"/>
      <c r="M46" s="313"/>
      <c r="N46" s="313"/>
      <c r="O46" s="314"/>
      <c r="P46" s="314"/>
      <c r="Q46" s="313"/>
      <c r="R46" s="314"/>
      <c r="S46" s="314"/>
      <c r="T46" s="314"/>
      <c r="U46" s="314"/>
      <c r="V46" s="315"/>
    </row>
    <row r="47" spans="1:22">
      <c r="A47" s="310"/>
      <c r="B47" s="316"/>
      <c r="C47" s="317"/>
      <c r="D47" s="318"/>
      <c r="E47" s="318"/>
      <c r="F47" s="318"/>
      <c r="G47" s="318"/>
      <c r="H47" s="318"/>
      <c r="I47" s="318"/>
      <c r="J47" s="320"/>
      <c r="K47" s="320"/>
      <c r="L47" s="318"/>
      <c r="M47" s="318"/>
      <c r="N47" s="318"/>
      <c r="O47" s="320"/>
      <c r="P47" s="320"/>
      <c r="Q47" s="318"/>
      <c r="R47" s="320"/>
      <c r="S47" s="320"/>
      <c r="T47" s="320"/>
      <c r="U47" s="320"/>
      <c r="V47" s="315"/>
    </row>
    <row r="48" spans="1:22">
      <c r="A48" s="310"/>
      <c r="B48" s="55"/>
      <c r="C48" s="307"/>
      <c r="D48" s="308"/>
      <c r="E48" s="308"/>
      <c r="F48" s="308"/>
      <c r="G48" s="308"/>
      <c r="H48" s="308"/>
      <c r="I48" s="308"/>
      <c r="J48" s="309"/>
      <c r="K48" s="309"/>
      <c r="L48" s="308"/>
      <c r="M48" s="308"/>
      <c r="N48" s="308"/>
      <c r="O48" s="309"/>
      <c r="P48" s="309"/>
      <c r="Q48" s="308"/>
      <c r="R48" s="309"/>
      <c r="S48" s="309"/>
      <c r="T48" s="309"/>
      <c r="U48" s="309"/>
      <c r="V48" s="315"/>
    </row>
    <row r="49" spans="1:22">
      <c r="A49" s="310"/>
      <c r="B49" s="311"/>
      <c r="C49" s="312"/>
      <c r="D49" s="313"/>
      <c r="E49" s="313"/>
      <c r="F49" s="313"/>
      <c r="G49" s="313"/>
      <c r="H49" s="313"/>
      <c r="I49" s="313"/>
      <c r="J49" s="314"/>
      <c r="K49" s="314"/>
      <c r="L49" s="313"/>
      <c r="M49" s="313"/>
      <c r="N49" s="313"/>
      <c r="O49" s="314"/>
      <c r="P49" s="314"/>
      <c r="Q49" s="313"/>
      <c r="R49" s="314"/>
      <c r="S49" s="314"/>
      <c r="T49" s="314"/>
      <c r="U49" s="314"/>
      <c r="V49" s="315"/>
    </row>
    <row r="50" spans="1:22">
      <c r="A50" s="310"/>
      <c r="B50" s="316"/>
      <c r="C50" s="317"/>
      <c r="D50" s="318"/>
      <c r="E50" s="318"/>
      <c r="F50" s="318"/>
      <c r="G50" s="318"/>
      <c r="H50" s="318"/>
      <c r="I50" s="318"/>
      <c r="J50" s="320"/>
      <c r="K50" s="320"/>
      <c r="L50" s="318"/>
      <c r="M50" s="318"/>
      <c r="N50" s="318"/>
      <c r="O50" s="320"/>
      <c r="P50" s="320"/>
      <c r="Q50" s="318"/>
      <c r="R50" s="320"/>
      <c r="S50" s="320"/>
      <c r="T50" s="320"/>
      <c r="U50" s="320"/>
      <c r="V50" s="315"/>
    </row>
    <row r="51" spans="1:22">
      <c r="A51" s="310"/>
      <c r="B51" s="55"/>
      <c r="C51" s="307"/>
      <c r="D51" s="308"/>
      <c r="E51" s="308"/>
      <c r="F51" s="308"/>
      <c r="G51" s="308"/>
      <c r="H51" s="308"/>
      <c r="I51" s="308"/>
      <c r="J51" s="309"/>
      <c r="K51" s="309"/>
      <c r="L51" s="308"/>
      <c r="M51" s="308"/>
      <c r="N51" s="308"/>
      <c r="O51" s="309"/>
      <c r="P51" s="309"/>
      <c r="Q51" s="308"/>
      <c r="R51" s="309"/>
      <c r="S51" s="309"/>
      <c r="T51" s="309"/>
      <c r="U51" s="309"/>
      <c r="V51" s="315"/>
    </row>
    <row r="52" spans="1:22">
      <c r="A52" s="310"/>
      <c r="B52" s="311"/>
      <c r="C52" s="312"/>
      <c r="D52" s="313"/>
      <c r="E52" s="313"/>
      <c r="F52" s="313"/>
      <c r="G52" s="313"/>
      <c r="H52" s="313"/>
      <c r="I52" s="313"/>
      <c r="J52" s="314"/>
      <c r="K52" s="314"/>
      <c r="L52" s="313"/>
      <c r="M52" s="313"/>
      <c r="N52" s="313"/>
      <c r="O52" s="314"/>
      <c r="P52" s="314"/>
      <c r="Q52" s="313"/>
      <c r="R52" s="314"/>
      <c r="S52" s="314"/>
      <c r="T52" s="314"/>
      <c r="U52" s="314"/>
      <c r="V52" s="315"/>
    </row>
    <row r="53" spans="1:22">
      <c r="A53" s="310"/>
      <c r="B53" s="316"/>
      <c r="C53" s="317"/>
      <c r="D53" s="318"/>
      <c r="E53" s="318"/>
      <c r="F53" s="318"/>
      <c r="G53" s="318"/>
      <c r="H53" s="318"/>
      <c r="I53" s="318"/>
      <c r="J53" s="320"/>
      <c r="K53" s="320"/>
      <c r="L53" s="318"/>
      <c r="M53" s="318"/>
      <c r="N53" s="318"/>
      <c r="O53" s="320"/>
      <c r="P53" s="320"/>
      <c r="Q53" s="318"/>
      <c r="R53" s="320"/>
      <c r="S53" s="320"/>
      <c r="T53" s="320"/>
      <c r="U53" s="320"/>
      <c r="V53" s="315"/>
    </row>
    <row r="54" spans="1:22">
      <c r="A54" s="310"/>
      <c r="B54" s="55"/>
      <c r="C54" s="307"/>
      <c r="D54" s="308"/>
      <c r="E54" s="308"/>
      <c r="F54" s="308"/>
      <c r="G54" s="308"/>
      <c r="H54" s="308"/>
      <c r="I54" s="308"/>
      <c r="J54" s="309"/>
      <c r="K54" s="309"/>
      <c r="L54" s="308"/>
      <c r="M54" s="308"/>
      <c r="N54" s="308"/>
      <c r="O54" s="309"/>
      <c r="P54" s="309"/>
      <c r="Q54" s="308"/>
      <c r="R54" s="309"/>
      <c r="S54" s="309"/>
      <c r="T54" s="309"/>
      <c r="U54" s="309"/>
      <c r="V54" s="315"/>
    </row>
    <row r="55" spans="1:22">
      <c r="A55" s="310"/>
      <c r="B55" s="311"/>
      <c r="C55" s="312"/>
      <c r="D55" s="313"/>
      <c r="E55" s="313"/>
      <c r="F55" s="313"/>
      <c r="G55" s="313"/>
      <c r="H55" s="313"/>
      <c r="I55" s="313"/>
      <c r="J55" s="314"/>
      <c r="K55" s="314"/>
      <c r="L55" s="313"/>
      <c r="M55" s="313"/>
      <c r="N55" s="313"/>
      <c r="O55" s="314"/>
      <c r="P55" s="314"/>
      <c r="Q55" s="313"/>
      <c r="R55" s="314"/>
      <c r="S55" s="314"/>
      <c r="T55" s="314"/>
      <c r="U55" s="314"/>
      <c r="V55" s="315"/>
    </row>
    <row r="56" spans="1:22">
      <c r="A56" s="310"/>
      <c r="B56" s="316"/>
      <c r="C56" s="317"/>
      <c r="D56" s="318"/>
      <c r="E56" s="318"/>
      <c r="F56" s="318"/>
      <c r="G56" s="318"/>
      <c r="H56" s="318"/>
      <c r="I56" s="318"/>
      <c r="J56" s="320"/>
      <c r="K56" s="320"/>
      <c r="L56" s="318"/>
      <c r="M56" s="318"/>
      <c r="N56" s="318"/>
      <c r="O56" s="320"/>
      <c r="P56" s="320"/>
      <c r="Q56" s="318"/>
      <c r="R56" s="320"/>
      <c r="S56" s="320"/>
      <c r="T56" s="320"/>
      <c r="U56" s="320"/>
      <c r="V56" s="315"/>
    </row>
    <row r="57" spans="1:22">
      <c r="A57" s="310"/>
      <c r="B57" s="55"/>
      <c r="C57" s="307"/>
      <c r="D57" s="308"/>
      <c r="E57" s="308"/>
      <c r="F57" s="308"/>
      <c r="G57" s="308"/>
      <c r="H57" s="308"/>
      <c r="I57" s="308"/>
      <c r="J57" s="309"/>
      <c r="K57" s="309"/>
      <c r="L57" s="308"/>
      <c r="M57" s="308"/>
      <c r="N57" s="308"/>
      <c r="O57" s="309"/>
      <c r="P57" s="309"/>
      <c r="Q57" s="308"/>
      <c r="R57" s="309"/>
      <c r="S57" s="309"/>
      <c r="T57" s="309"/>
      <c r="U57" s="309"/>
      <c r="V57" s="315"/>
    </row>
    <row r="58" spans="1:22">
      <c r="A58" s="310"/>
      <c r="B58" s="311"/>
      <c r="C58" s="312"/>
      <c r="D58" s="313"/>
      <c r="E58" s="313"/>
      <c r="F58" s="313"/>
      <c r="G58" s="313"/>
      <c r="H58" s="313"/>
      <c r="I58" s="313"/>
      <c r="J58" s="314"/>
      <c r="K58" s="314"/>
      <c r="L58" s="313"/>
      <c r="M58" s="313"/>
      <c r="N58" s="313"/>
      <c r="O58" s="314"/>
      <c r="P58" s="314"/>
      <c r="Q58" s="313"/>
      <c r="R58" s="314"/>
      <c r="S58" s="314"/>
      <c r="T58" s="314"/>
      <c r="U58" s="314"/>
      <c r="V58" s="315"/>
    </row>
    <row r="59" spans="1:22" ht="15" thickBot="1">
      <c r="A59" s="310"/>
      <c r="B59" s="322"/>
      <c r="C59" s="323"/>
      <c r="D59" s="324"/>
      <c r="E59" s="324"/>
      <c r="F59" s="324"/>
      <c r="G59" s="324"/>
      <c r="H59" s="324"/>
      <c r="I59" s="324"/>
      <c r="J59" s="325"/>
      <c r="K59" s="325"/>
      <c r="L59" s="324"/>
      <c r="M59" s="324"/>
      <c r="N59" s="324"/>
      <c r="O59" s="325"/>
      <c r="P59" s="325"/>
      <c r="Q59" s="324"/>
      <c r="R59" s="325"/>
      <c r="S59" s="325"/>
      <c r="T59" s="325"/>
      <c r="U59" s="325"/>
      <c r="V59" s="315"/>
    </row>
    <row r="60" spans="1:22" ht="15" thickTop="1">
      <c r="A60" s="310"/>
      <c r="B60" s="311"/>
      <c r="C60" s="312"/>
      <c r="D60" s="313"/>
      <c r="E60" s="313"/>
      <c r="F60" s="313"/>
      <c r="G60" s="313"/>
      <c r="H60" s="313"/>
      <c r="I60" s="313"/>
      <c r="J60" s="314"/>
      <c r="K60" s="314"/>
      <c r="L60" s="313"/>
      <c r="M60" s="313"/>
      <c r="N60" s="313"/>
      <c r="O60" s="314"/>
      <c r="P60" s="314"/>
      <c r="Q60" s="313"/>
      <c r="R60" s="314"/>
      <c r="S60" s="314"/>
      <c r="T60" s="314"/>
      <c r="U60" s="314"/>
      <c r="V60" s="315"/>
    </row>
    <row r="61" spans="1:22">
      <c r="A61" s="310"/>
      <c r="B61" s="311"/>
      <c r="C61" s="312"/>
      <c r="D61" s="313"/>
      <c r="E61" s="313"/>
      <c r="F61" s="313"/>
      <c r="G61" s="313"/>
      <c r="H61" s="313"/>
      <c r="I61" s="313"/>
      <c r="J61" s="314"/>
      <c r="K61" s="314"/>
      <c r="L61" s="313"/>
      <c r="M61" s="313"/>
      <c r="N61" s="313"/>
      <c r="O61" s="314"/>
      <c r="P61" s="314"/>
      <c r="Q61" s="313"/>
      <c r="R61" s="314"/>
      <c r="S61" s="314"/>
      <c r="T61" s="314"/>
      <c r="U61" s="314"/>
      <c r="V61" s="315"/>
    </row>
    <row r="62" spans="1:22">
      <c r="A62" s="310"/>
      <c r="B62" s="316"/>
      <c r="C62" s="317"/>
      <c r="D62" s="318"/>
      <c r="E62" s="318"/>
      <c r="F62" s="318"/>
      <c r="G62" s="318"/>
      <c r="H62" s="318"/>
      <c r="I62" s="318"/>
      <c r="J62" s="320"/>
      <c r="K62" s="320"/>
      <c r="L62" s="318"/>
      <c r="M62" s="318"/>
      <c r="N62" s="318"/>
      <c r="O62" s="320"/>
      <c r="P62" s="320"/>
      <c r="Q62" s="318"/>
      <c r="R62" s="320"/>
      <c r="S62" s="320"/>
      <c r="T62" s="320"/>
      <c r="U62" s="320"/>
      <c r="V62" s="315"/>
    </row>
    <row r="63" spans="1:22">
      <c r="A63" s="310"/>
      <c r="B63" s="55"/>
      <c r="C63" s="307"/>
      <c r="D63" s="308"/>
      <c r="E63" s="308"/>
      <c r="F63" s="308"/>
      <c r="G63" s="308"/>
      <c r="H63" s="308"/>
      <c r="I63" s="308"/>
      <c r="J63" s="309"/>
      <c r="K63" s="309"/>
      <c r="L63" s="308"/>
      <c r="M63" s="308"/>
      <c r="N63" s="308"/>
      <c r="O63" s="309"/>
      <c r="P63" s="309"/>
      <c r="Q63" s="308"/>
      <c r="R63" s="309"/>
      <c r="S63" s="309"/>
      <c r="T63" s="309"/>
      <c r="U63" s="309"/>
      <c r="V63" s="315"/>
    </row>
    <row r="64" spans="1:22">
      <c r="A64" s="310"/>
      <c r="B64" s="311"/>
      <c r="C64" s="312"/>
      <c r="D64" s="313"/>
      <c r="E64" s="313"/>
      <c r="F64" s="313"/>
      <c r="G64" s="313"/>
      <c r="H64" s="313"/>
      <c r="I64" s="313"/>
      <c r="J64" s="314"/>
      <c r="K64" s="314"/>
      <c r="L64" s="313"/>
      <c r="M64" s="313"/>
      <c r="N64" s="313"/>
      <c r="O64" s="314"/>
      <c r="P64" s="314"/>
      <c r="Q64" s="313"/>
      <c r="R64" s="314"/>
      <c r="S64" s="314"/>
      <c r="T64" s="314"/>
      <c r="U64" s="314"/>
      <c r="V64" s="315"/>
    </row>
    <row r="65" spans="1:23">
      <c r="A65" s="310"/>
      <c r="B65" s="316"/>
      <c r="C65" s="317"/>
      <c r="D65" s="318"/>
      <c r="E65" s="318"/>
      <c r="F65" s="318"/>
      <c r="G65" s="318"/>
      <c r="H65" s="318"/>
      <c r="I65" s="318"/>
      <c r="J65" s="320"/>
      <c r="K65" s="320"/>
      <c r="L65" s="318"/>
      <c r="M65" s="318"/>
      <c r="N65" s="318"/>
      <c r="O65" s="320"/>
      <c r="P65" s="320"/>
      <c r="Q65" s="318"/>
      <c r="R65" s="320"/>
      <c r="S65" s="320"/>
      <c r="T65" s="320"/>
      <c r="U65" s="320"/>
      <c r="V65" s="315"/>
    </row>
    <row r="66" spans="1:23">
      <c r="A66" s="310"/>
      <c r="B66" s="55"/>
      <c r="C66" s="307"/>
      <c r="D66" s="308"/>
      <c r="E66" s="308"/>
      <c r="F66" s="308"/>
      <c r="G66" s="308"/>
      <c r="H66" s="308"/>
      <c r="I66" s="308"/>
      <c r="J66" s="309"/>
      <c r="K66" s="309"/>
      <c r="L66" s="308"/>
      <c r="M66" s="308"/>
      <c r="N66" s="308"/>
      <c r="O66" s="309"/>
      <c r="P66" s="309"/>
      <c r="Q66" s="308"/>
      <c r="R66" s="309"/>
      <c r="S66" s="309"/>
      <c r="T66" s="309"/>
      <c r="U66" s="309"/>
      <c r="V66" s="315"/>
    </row>
    <row r="67" spans="1:23">
      <c r="A67" s="310"/>
      <c r="B67" s="311"/>
      <c r="C67" s="312"/>
      <c r="D67" s="313"/>
      <c r="E67" s="313"/>
      <c r="F67" s="313"/>
      <c r="G67" s="313"/>
      <c r="H67" s="313"/>
      <c r="I67" s="313"/>
      <c r="J67" s="314"/>
      <c r="K67" s="314"/>
      <c r="L67" s="313"/>
      <c r="M67" s="313"/>
      <c r="N67" s="313"/>
      <c r="O67" s="314"/>
      <c r="P67" s="314"/>
      <c r="Q67" s="313"/>
      <c r="R67" s="314"/>
      <c r="S67" s="314"/>
      <c r="T67" s="314"/>
      <c r="U67" s="314"/>
      <c r="V67" s="315"/>
    </row>
    <row r="68" spans="1:23">
      <c r="A68" s="310"/>
      <c r="B68" s="316"/>
      <c r="C68" s="317"/>
      <c r="D68" s="318"/>
      <c r="E68" s="318"/>
      <c r="F68" s="318"/>
      <c r="G68" s="318"/>
      <c r="H68" s="318"/>
      <c r="I68" s="318"/>
      <c r="J68" s="320"/>
      <c r="K68" s="320"/>
      <c r="L68" s="318"/>
      <c r="M68" s="318"/>
      <c r="N68" s="318"/>
      <c r="O68" s="320"/>
      <c r="P68" s="320"/>
      <c r="Q68" s="318"/>
      <c r="R68" s="320"/>
      <c r="S68" s="320"/>
      <c r="T68" s="320"/>
      <c r="U68" s="320"/>
      <c r="V68" s="315"/>
    </row>
    <row r="69" spans="1:23">
      <c r="A69" s="310"/>
      <c r="B69" s="55"/>
      <c r="C69" s="307"/>
      <c r="D69" s="308"/>
      <c r="E69" s="308"/>
      <c r="F69" s="308"/>
      <c r="G69" s="308"/>
      <c r="H69" s="308"/>
      <c r="I69" s="308"/>
      <c r="J69" s="309"/>
      <c r="K69" s="309"/>
      <c r="L69" s="308"/>
      <c r="M69" s="308"/>
      <c r="N69" s="308"/>
      <c r="O69" s="309"/>
      <c r="P69" s="309"/>
      <c r="Q69" s="308"/>
      <c r="R69" s="309"/>
      <c r="S69" s="309"/>
      <c r="T69" s="309"/>
      <c r="U69" s="309"/>
      <c r="V69" s="315"/>
    </row>
    <row r="70" spans="1:23">
      <c r="A70" s="310"/>
      <c r="B70" s="311"/>
      <c r="C70" s="312"/>
      <c r="D70" s="313"/>
      <c r="E70" s="313"/>
      <c r="F70" s="313"/>
      <c r="G70" s="313"/>
      <c r="H70" s="313"/>
      <c r="I70" s="313"/>
      <c r="J70" s="314"/>
      <c r="K70" s="314"/>
      <c r="L70" s="313"/>
      <c r="M70" s="313"/>
      <c r="N70" s="313"/>
      <c r="O70" s="314"/>
      <c r="P70" s="314"/>
      <c r="Q70" s="313"/>
      <c r="R70" s="314"/>
      <c r="S70" s="314"/>
      <c r="T70" s="314"/>
      <c r="U70" s="314"/>
      <c r="V70" s="315"/>
    </row>
    <row r="71" spans="1:23">
      <c r="A71" s="310"/>
      <c r="B71" s="316"/>
      <c r="C71" s="317"/>
      <c r="D71" s="318"/>
      <c r="E71" s="318"/>
      <c r="F71" s="318"/>
      <c r="G71" s="318"/>
      <c r="H71" s="318"/>
      <c r="I71" s="318"/>
      <c r="J71" s="320"/>
      <c r="K71" s="320"/>
      <c r="L71" s="318"/>
      <c r="M71" s="318"/>
      <c r="N71" s="318"/>
      <c r="O71" s="320"/>
      <c r="P71" s="320"/>
      <c r="Q71" s="318"/>
      <c r="R71" s="320"/>
      <c r="S71" s="320"/>
      <c r="T71" s="320"/>
      <c r="U71" s="320"/>
      <c r="V71" s="315"/>
    </row>
    <row r="72" spans="1:23">
      <c r="A72" s="310"/>
      <c r="B72" s="55"/>
      <c r="C72" s="307"/>
      <c r="D72" s="308"/>
      <c r="E72" s="308"/>
      <c r="F72" s="308"/>
      <c r="G72" s="308"/>
      <c r="H72" s="308"/>
      <c r="I72" s="308"/>
      <c r="J72" s="309"/>
      <c r="K72" s="309"/>
      <c r="L72" s="308"/>
      <c r="M72" s="308"/>
      <c r="N72" s="308"/>
      <c r="O72" s="309"/>
      <c r="P72" s="309"/>
      <c r="Q72" s="308"/>
      <c r="R72" s="309"/>
      <c r="S72" s="309"/>
      <c r="T72" s="309"/>
      <c r="U72" s="309"/>
      <c r="V72" s="315"/>
    </row>
    <row r="73" spans="1:23">
      <c r="A73" s="310"/>
      <c r="B73" s="311"/>
      <c r="C73" s="312"/>
      <c r="D73" s="313"/>
      <c r="E73" s="313"/>
      <c r="F73" s="313"/>
      <c r="G73" s="313"/>
      <c r="H73" s="313"/>
      <c r="I73" s="313"/>
      <c r="J73" s="314"/>
      <c r="K73" s="314"/>
      <c r="L73" s="313"/>
      <c r="M73" s="313"/>
      <c r="N73" s="313"/>
      <c r="O73" s="314"/>
      <c r="P73" s="314"/>
      <c r="Q73" s="313"/>
      <c r="R73" s="314"/>
      <c r="S73" s="314"/>
      <c r="T73" s="314"/>
      <c r="U73" s="314"/>
      <c r="V73" s="315"/>
    </row>
    <row r="74" spans="1:23">
      <c r="A74" s="310"/>
      <c r="B74" s="316"/>
      <c r="C74" s="317"/>
      <c r="D74" s="318"/>
      <c r="E74" s="318"/>
      <c r="F74" s="318"/>
      <c r="G74" s="318"/>
      <c r="H74" s="318"/>
      <c r="I74" s="318"/>
      <c r="J74" s="320"/>
      <c r="K74" s="320"/>
      <c r="L74" s="318"/>
      <c r="M74" s="318"/>
      <c r="N74" s="318"/>
      <c r="O74" s="320"/>
      <c r="P74" s="320"/>
      <c r="Q74" s="318"/>
      <c r="R74" s="320"/>
      <c r="S74" s="320"/>
      <c r="T74" s="320"/>
      <c r="U74" s="320"/>
      <c r="V74" s="315"/>
    </row>
    <row r="75" spans="1:23">
      <c r="A75" s="310"/>
      <c r="B75" s="55"/>
      <c r="C75" s="307"/>
      <c r="D75" s="308"/>
      <c r="E75" s="308"/>
      <c r="F75" s="308"/>
      <c r="G75" s="308"/>
      <c r="H75" s="308"/>
      <c r="I75" s="308"/>
      <c r="J75" s="309"/>
      <c r="K75" s="309"/>
      <c r="L75" s="308"/>
      <c r="M75" s="308"/>
      <c r="N75" s="308"/>
      <c r="O75" s="309"/>
      <c r="P75" s="309"/>
      <c r="Q75" s="308"/>
      <c r="R75" s="309"/>
      <c r="S75" s="309"/>
      <c r="T75" s="309"/>
      <c r="U75" s="309"/>
      <c r="V75" s="315"/>
    </row>
    <row r="76" spans="1:23">
      <c r="A76" s="310"/>
      <c r="B76" s="311"/>
      <c r="C76" s="312"/>
      <c r="D76" s="313"/>
      <c r="E76" s="313"/>
      <c r="F76" s="313"/>
      <c r="G76" s="313"/>
      <c r="H76" s="313"/>
      <c r="I76" s="313"/>
      <c r="J76" s="314"/>
      <c r="K76" s="314"/>
      <c r="L76" s="313"/>
      <c r="M76" s="313"/>
      <c r="N76" s="313"/>
      <c r="O76" s="314"/>
      <c r="P76" s="314"/>
      <c r="Q76" s="313"/>
      <c r="R76" s="314"/>
      <c r="S76" s="314"/>
      <c r="T76" s="314"/>
      <c r="U76" s="314"/>
      <c r="V76" s="315"/>
      <c r="W76" s="332"/>
    </row>
    <row r="77" spans="1:23" ht="15" thickBot="1">
      <c r="A77" s="326"/>
      <c r="B77" s="327"/>
      <c r="C77" s="328"/>
      <c r="D77" s="329"/>
      <c r="E77" s="329"/>
      <c r="F77" s="329"/>
      <c r="G77" s="329"/>
      <c r="H77" s="329"/>
      <c r="I77" s="329"/>
      <c r="J77" s="330"/>
      <c r="K77" s="330"/>
      <c r="L77" s="329"/>
      <c r="M77" s="329"/>
      <c r="N77" s="329"/>
      <c r="O77" s="330"/>
      <c r="P77" s="330"/>
      <c r="Q77" s="329"/>
      <c r="R77" s="330"/>
      <c r="S77" s="330"/>
      <c r="T77" s="330"/>
      <c r="U77" s="330"/>
      <c r="V77" s="315"/>
    </row>
    <row r="78" spans="1:23">
      <c r="A78" s="306"/>
      <c r="B78" s="55"/>
      <c r="C78" s="307"/>
      <c r="D78" s="308"/>
      <c r="E78" s="308"/>
      <c r="F78" s="308"/>
      <c r="G78" s="308"/>
      <c r="H78" s="308"/>
      <c r="I78" s="308"/>
      <c r="J78" s="309"/>
      <c r="K78" s="309"/>
      <c r="L78" s="308"/>
      <c r="M78" s="308"/>
      <c r="N78" s="308"/>
      <c r="O78" s="309"/>
      <c r="P78" s="309"/>
      <c r="Q78" s="308"/>
      <c r="R78" s="309"/>
      <c r="S78" s="309"/>
      <c r="T78" s="309"/>
      <c r="U78" s="309"/>
      <c r="V78" s="315"/>
    </row>
    <row r="79" spans="1:23">
      <c r="A79" s="310"/>
      <c r="B79" s="311"/>
      <c r="C79" s="312"/>
      <c r="D79" s="313"/>
      <c r="E79" s="313"/>
      <c r="F79" s="313"/>
      <c r="G79" s="313"/>
      <c r="H79" s="313"/>
      <c r="I79" s="313"/>
      <c r="J79" s="314"/>
      <c r="K79" s="314"/>
      <c r="L79" s="313"/>
      <c r="M79" s="313"/>
      <c r="N79" s="313"/>
      <c r="O79" s="314"/>
      <c r="P79" s="314"/>
      <c r="Q79" s="313"/>
      <c r="R79" s="314"/>
      <c r="S79" s="314"/>
      <c r="T79" s="314"/>
      <c r="U79" s="314"/>
      <c r="V79" s="315"/>
    </row>
    <row r="80" spans="1:23">
      <c r="A80" s="310"/>
      <c r="B80" s="316"/>
      <c r="C80" s="317"/>
      <c r="D80" s="318"/>
      <c r="E80" s="318"/>
      <c r="F80" s="318"/>
      <c r="G80" s="318"/>
      <c r="H80" s="318"/>
      <c r="I80" s="318"/>
      <c r="J80" s="320"/>
      <c r="K80" s="320"/>
      <c r="L80" s="318"/>
      <c r="M80" s="318"/>
      <c r="N80" s="318"/>
      <c r="O80" s="320"/>
      <c r="P80" s="320"/>
      <c r="Q80" s="318"/>
      <c r="R80" s="320"/>
      <c r="S80" s="320"/>
      <c r="T80" s="320"/>
      <c r="U80" s="320"/>
      <c r="V80" s="315"/>
    </row>
    <row r="81" spans="1:22">
      <c r="A81" s="310"/>
      <c r="B81" s="55"/>
      <c r="C81" s="307"/>
      <c r="D81" s="308"/>
      <c r="E81" s="308"/>
      <c r="F81" s="308"/>
      <c r="G81" s="308"/>
      <c r="H81" s="308"/>
      <c r="I81" s="308"/>
      <c r="J81" s="309"/>
      <c r="K81" s="309"/>
      <c r="L81" s="308"/>
      <c r="M81" s="308"/>
      <c r="N81" s="308"/>
      <c r="O81" s="309"/>
      <c r="P81" s="309"/>
      <c r="Q81" s="308"/>
      <c r="R81" s="309"/>
      <c r="S81" s="309"/>
      <c r="T81" s="309"/>
      <c r="U81" s="309"/>
      <c r="V81" s="315"/>
    </row>
    <row r="82" spans="1:22">
      <c r="A82" s="310"/>
      <c r="B82" s="311"/>
      <c r="C82" s="312"/>
      <c r="D82" s="313"/>
      <c r="E82" s="313"/>
      <c r="F82" s="313"/>
      <c r="G82" s="313"/>
      <c r="H82" s="313"/>
      <c r="I82" s="313"/>
      <c r="J82" s="314"/>
      <c r="K82" s="314"/>
      <c r="L82" s="313"/>
      <c r="M82" s="313"/>
      <c r="N82" s="313"/>
      <c r="O82" s="314"/>
      <c r="P82" s="314"/>
      <c r="Q82" s="313"/>
      <c r="R82" s="314"/>
      <c r="S82" s="314"/>
      <c r="T82" s="314"/>
      <c r="U82" s="314"/>
      <c r="V82" s="315"/>
    </row>
    <row r="83" spans="1:22">
      <c r="A83" s="310"/>
      <c r="B83" s="316"/>
      <c r="C83" s="317"/>
      <c r="D83" s="318"/>
      <c r="E83" s="318"/>
      <c r="F83" s="318"/>
      <c r="G83" s="318"/>
      <c r="H83" s="318"/>
      <c r="I83" s="318"/>
      <c r="J83" s="320"/>
      <c r="K83" s="320"/>
      <c r="L83" s="318"/>
      <c r="M83" s="318"/>
      <c r="N83" s="318"/>
      <c r="O83" s="320"/>
      <c r="P83" s="320"/>
      <c r="Q83" s="318"/>
      <c r="R83" s="320"/>
      <c r="S83" s="320"/>
      <c r="T83" s="320"/>
      <c r="U83" s="320"/>
      <c r="V83" s="315"/>
    </row>
    <row r="84" spans="1:22">
      <c r="A84" s="310"/>
      <c r="B84" s="55"/>
      <c r="C84" s="307"/>
      <c r="D84" s="308"/>
      <c r="E84" s="308"/>
      <c r="F84" s="308"/>
      <c r="G84" s="308"/>
      <c r="H84" s="308"/>
      <c r="I84" s="308"/>
      <c r="J84" s="309"/>
      <c r="K84" s="309"/>
      <c r="L84" s="308"/>
      <c r="M84" s="308"/>
      <c r="N84" s="308"/>
      <c r="O84" s="309"/>
      <c r="P84" s="309"/>
      <c r="Q84" s="308"/>
      <c r="R84" s="309"/>
      <c r="S84" s="309"/>
      <c r="T84" s="309"/>
      <c r="U84" s="309"/>
      <c r="V84" s="315"/>
    </row>
    <row r="85" spans="1:22">
      <c r="A85" s="310"/>
      <c r="B85" s="311"/>
      <c r="C85" s="312"/>
      <c r="D85" s="313"/>
      <c r="E85" s="313"/>
      <c r="F85" s="313"/>
      <c r="G85" s="313"/>
      <c r="H85" s="313"/>
      <c r="I85" s="313"/>
      <c r="J85" s="314"/>
      <c r="K85" s="314"/>
      <c r="L85" s="313"/>
      <c r="M85" s="313"/>
      <c r="N85" s="313"/>
      <c r="O85" s="314"/>
      <c r="P85" s="314"/>
      <c r="Q85" s="313"/>
      <c r="R85" s="314"/>
      <c r="S85" s="314"/>
      <c r="T85" s="314"/>
      <c r="U85" s="314"/>
      <c r="V85" s="315"/>
    </row>
    <row r="86" spans="1:22">
      <c r="A86" s="310"/>
      <c r="B86" s="316"/>
      <c r="C86" s="317"/>
      <c r="D86" s="318"/>
      <c r="E86" s="318"/>
      <c r="F86" s="318"/>
      <c r="G86" s="318"/>
      <c r="H86" s="318"/>
      <c r="I86" s="318"/>
      <c r="J86" s="320"/>
      <c r="K86" s="320"/>
      <c r="L86" s="318"/>
      <c r="M86" s="318"/>
      <c r="N86" s="318"/>
      <c r="O86" s="320"/>
      <c r="P86" s="320"/>
      <c r="Q86" s="318"/>
      <c r="R86" s="320"/>
      <c r="S86" s="320"/>
      <c r="T86" s="320"/>
      <c r="U86" s="320"/>
      <c r="V86" s="315"/>
    </row>
    <row r="87" spans="1:22">
      <c r="A87" s="310"/>
      <c r="B87" s="55"/>
      <c r="C87" s="307"/>
      <c r="D87" s="308"/>
      <c r="E87" s="308"/>
      <c r="F87" s="308"/>
      <c r="G87" s="308"/>
      <c r="H87" s="308"/>
      <c r="I87" s="308"/>
      <c r="J87" s="309"/>
      <c r="K87" s="309"/>
      <c r="L87" s="308"/>
      <c r="M87" s="308"/>
      <c r="N87" s="308"/>
      <c r="O87" s="309"/>
      <c r="P87" s="309"/>
      <c r="Q87" s="308"/>
      <c r="R87" s="309"/>
      <c r="S87" s="309"/>
      <c r="T87" s="309"/>
      <c r="U87" s="309"/>
      <c r="V87" s="315"/>
    </row>
    <row r="88" spans="1:22">
      <c r="A88" s="310"/>
      <c r="B88" s="311"/>
      <c r="C88" s="312"/>
      <c r="D88" s="313"/>
      <c r="E88" s="313"/>
      <c r="F88" s="313"/>
      <c r="G88" s="313"/>
      <c r="H88" s="313"/>
      <c r="I88" s="313"/>
      <c r="J88" s="314"/>
      <c r="K88" s="314"/>
      <c r="L88" s="313"/>
      <c r="M88" s="313"/>
      <c r="N88" s="313"/>
      <c r="O88" s="314"/>
      <c r="P88" s="314"/>
      <c r="Q88" s="313"/>
      <c r="R88" s="314"/>
      <c r="S88" s="314"/>
      <c r="T88" s="314"/>
      <c r="U88" s="314"/>
      <c r="V88" s="315"/>
    </row>
    <row r="89" spans="1:22">
      <c r="A89" s="310"/>
      <c r="B89" s="316"/>
      <c r="C89" s="317"/>
      <c r="D89" s="318"/>
      <c r="E89" s="318"/>
      <c r="F89" s="318"/>
      <c r="G89" s="318"/>
      <c r="H89" s="318"/>
      <c r="I89" s="318"/>
      <c r="J89" s="320"/>
      <c r="K89" s="320"/>
      <c r="L89" s="318"/>
      <c r="M89" s="318"/>
      <c r="N89" s="318"/>
      <c r="O89" s="320"/>
      <c r="P89" s="320"/>
      <c r="Q89" s="318"/>
      <c r="R89" s="320"/>
      <c r="S89" s="320"/>
      <c r="T89" s="320"/>
      <c r="U89" s="320"/>
      <c r="V89" s="315"/>
    </row>
    <row r="90" spans="1:22">
      <c r="A90" s="310"/>
      <c r="B90" s="55"/>
      <c r="C90" s="307"/>
      <c r="D90" s="308"/>
      <c r="E90" s="308"/>
      <c r="F90" s="308"/>
      <c r="G90" s="308"/>
      <c r="H90" s="308"/>
      <c r="I90" s="308"/>
      <c r="J90" s="309"/>
      <c r="K90" s="309"/>
      <c r="L90" s="308"/>
      <c r="M90" s="308"/>
      <c r="N90" s="308"/>
      <c r="O90" s="309"/>
      <c r="P90" s="309"/>
      <c r="Q90" s="308"/>
      <c r="R90" s="309"/>
      <c r="S90" s="309"/>
      <c r="T90" s="309"/>
      <c r="U90" s="309"/>
      <c r="V90" s="315"/>
    </row>
    <row r="91" spans="1:22">
      <c r="A91" s="310"/>
      <c r="B91" s="311"/>
      <c r="C91" s="312"/>
      <c r="D91" s="313"/>
      <c r="E91" s="313"/>
      <c r="F91" s="313"/>
      <c r="G91" s="313"/>
      <c r="H91" s="313"/>
      <c r="I91" s="313"/>
      <c r="J91" s="314"/>
      <c r="K91" s="314"/>
      <c r="L91" s="313"/>
      <c r="M91" s="313"/>
      <c r="N91" s="313"/>
      <c r="O91" s="314"/>
      <c r="P91" s="314"/>
      <c r="Q91" s="313"/>
      <c r="R91" s="314"/>
      <c r="S91" s="314"/>
      <c r="T91" s="314"/>
      <c r="U91" s="314"/>
      <c r="V91" s="315"/>
    </row>
    <row r="92" spans="1:22">
      <c r="A92" s="310"/>
      <c r="B92" s="316"/>
      <c r="C92" s="317"/>
      <c r="D92" s="318"/>
      <c r="E92" s="318"/>
      <c r="F92" s="318"/>
      <c r="G92" s="318"/>
      <c r="H92" s="318"/>
      <c r="I92" s="318"/>
      <c r="J92" s="320"/>
      <c r="K92" s="320"/>
      <c r="L92" s="318"/>
      <c r="M92" s="318"/>
      <c r="N92" s="318"/>
      <c r="O92" s="320"/>
      <c r="P92" s="320"/>
      <c r="Q92" s="318"/>
      <c r="R92" s="320"/>
      <c r="S92" s="320"/>
      <c r="T92" s="320"/>
      <c r="U92" s="320"/>
      <c r="V92" s="315"/>
    </row>
    <row r="93" spans="1:22">
      <c r="A93" s="310"/>
      <c r="B93" s="55"/>
      <c r="C93" s="307"/>
      <c r="D93" s="308"/>
      <c r="E93" s="308"/>
      <c r="F93" s="308"/>
      <c r="G93" s="308"/>
      <c r="H93" s="308"/>
      <c r="I93" s="308"/>
      <c r="J93" s="309"/>
      <c r="K93" s="309"/>
      <c r="L93" s="308"/>
      <c r="M93" s="308"/>
      <c r="N93" s="308"/>
      <c r="O93" s="309"/>
      <c r="P93" s="309"/>
      <c r="Q93" s="308"/>
      <c r="R93" s="309"/>
      <c r="S93" s="309"/>
      <c r="T93" s="309"/>
      <c r="U93" s="309"/>
      <c r="V93" s="315"/>
    </row>
    <row r="94" spans="1:22">
      <c r="A94" s="310"/>
      <c r="B94" s="311"/>
      <c r="C94" s="312"/>
      <c r="D94" s="313"/>
      <c r="E94" s="313"/>
      <c r="F94" s="313"/>
      <c r="G94" s="313"/>
      <c r="H94" s="313"/>
      <c r="I94" s="313"/>
      <c r="J94" s="314"/>
      <c r="K94" s="314"/>
      <c r="L94" s="313"/>
      <c r="M94" s="313"/>
      <c r="N94" s="313"/>
      <c r="O94" s="314"/>
      <c r="P94" s="314"/>
      <c r="Q94" s="313"/>
      <c r="R94" s="314"/>
      <c r="S94" s="314"/>
      <c r="T94" s="314"/>
      <c r="U94" s="314"/>
      <c r="V94" s="315"/>
    </row>
    <row r="95" spans="1:22" ht="15" thickBot="1">
      <c r="A95" s="310"/>
      <c r="B95" s="322"/>
      <c r="C95" s="323"/>
      <c r="D95" s="324"/>
      <c r="E95" s="324"/>
      <c r="F95" s="324"/>
      <c r="G95" s="324"/>
      <c r="H95" s="324"/>
      <c r="I95" s="324"/>
      <c r="J95" s="325"/>
      <c r="K95" s="325"/>
      <c r="L95" s="324"/>
      <c r="M95" s="324"/>
      <c r="N95" s="324"/>
      <c r="O95" s="325"/>
      <c r="P95" s="325"/>
      <c r="Q95" s="324"/>
      <c r="R95" s="325"/>
      <c r="S95" s="325"/>
      <c r="T95" s="325"/>
      <c r="U95" s="325"/>
      <c r="V95" s="315"/>
    </row>
    <row r="96" spans="1:22" ht="15" thickTop="1">
      <c r="A96" s="310"/>
      <c r="B96" s="311"/>
      <c r="C96" s="312"/>
      <c r="D96" s="313"/>
      <c r="E96" s="313"/>
      <c r="F96" s="313"/>
      <c r="G96" s="313"/>
      <c r="H96" s="313"/>
      <c r="I96" s="313"/>
      <c r="J96" s="314"/>
      <c r="K96" s="314"/>
      <c r="L96" s="313"/>
      <c r="M96" s="313"/>
      <c r="N96" s="313"/>
      <c r="O96" s="314"/>
      <c r="P96" s="314"/>
      <c r="Q96" s="313"/>
      <c r="R96" s="314"/>
      <c r="S96" s="314"/>
      <c r="T96" s="314"/>
      <c r="U96" s="314"/>
      <c r="V96" s="315"/>
    </row>
    <row r="97" spans="1:22">
      <c r="A97" s="310"/>
      <c r="B97" s="311"/>
      <c r="C97" s="312"/>
      <c r="D97" s="313"/>
      <c r="E97" s="313"/>
      <c r="F97" s="313"/>
      <c r="G97" s="313"/>
      <c r="H97" s="313"/>
      <c r="I97" s="313"/>
      <c r="J97" s="314"/>
      <c r="K97" s="314"/>
      <c r="L97" s="313"/>
      <c r="M97" s="313"/>
      <c r="N97" s="313"/>
      <c r="O97" s="314"/>
      <c r="P97" s="314"/>
      <c r="Q97" s="313"/>
      <c r="R97" s="314"/>
      <c r="S97" s="314"/>
      <c r="T97" s="314"/>
      <c r="U97" s="314"/>
      <c r="V97" s="315"/>
    </row>
    <row r="98" spans="1:22">
      <c r="A98" s="310"/>
      <c r="B98" s="316"/>
      <c r="C98" s="317"/>
      <c r="D98" s="318"/>
      <c r="E98" s="318"/>
      <c r="F98" s="318"/>
      <c r="G98" s="318"/>
      <c r="H98" s="318"/>
      <c r="I98" s="318"/>
      <c r="J98" s="320"/>
      <c r="K98" s="320"/>
      <c r="L98" s="318"/>
      <c r="M98" s="318"/>
      <c r="N98" s="318"/>
      <c r="O98" s="320"/>
      <c r="P98" s="320"/>
      <c r="Q98" s="318"/>
      <c r="R98" s="320"/>
      <c r="S98" s="320"/>
      <c r="T98" s="320"/>
      <c r="U98" s="320"/>
      <c r="V98" s="315"/>
    </row>
    <row r="99" spans="1:22">
      <c r="A99" s="310"/>
      <c r="B99" s="55"/>
      <c r="C99" s="307"/>
      <c r="D99" s="308"/>
      <c r="E99" s="308"/>
      <c r="F99" s="308"/>
      <c r="G99" s="308"/>
      <c r="H99" s="308"/>
      <c r="I99" s="308"/>
      <c r="J99" s="309"/>
      <c r="K99" s="309"/>
      <c r="L99" s="308"/>
      <c r="M99" s="308"/>
      <c r="N99" s="308"/>
      <c r="O99" s="309"/>
      <c r="P99" s="309"/>
      <c r="Q99" s="308"/>
      <c r="R99" s="309"/>
      <c r="S99" s="309"/>
      <c r="T99" s="309"/>
      <c r="U99" s="309"/>
      <c r="V99" s="315"/>
    </row>
    <row r="100" spans="1:22">
      <c r="A100" s="310"/>
      <c r="B100" s="311"/>
      <c r="C100" s="312"/>
      <c r="D100" s="313"/>
      <c r="E100" s="313"/>
      <c r="F100" s="313"/>
      <c r="G100" s="313"/>
      <c r="H100" s="313"/>
      <c r="I100" s="313"/>
      <c r="J100" s="314"/>
      <c r="K100" s="314"/>
      <c r="L100" s="313"/>
      <c r="M100" s="313"/>
      <c r="N100" s="313"/>
      <c r="O100" s="314"/>
      <c r="P100" s="314"/>
      <c r="Q100" s="313"/>
      <c r="R100" s="314"/>
      <c r="S100" s="314"/>
      <c r="T100" s="314"/>
      <c r="U100" s="314"/>
      <c r="V100" s="315"/>
    </row>
    <row r="101" spans="1:22">
      <c r="A101" s="310"/>
      <c r="B101" s="316"/>
      <c r="C101" s="317"/>
      <c r="D101" s="318"/>
      <c r="E101" s="318"/>
      <c r="F101" s="318"/>
      <c r="G101" s="318"/>
      <c r="H101" s="318"/>
      <c r="I101" s="318"/>
      <c r="J101" s="320"/>
      <c r="K101" s="320"/>
      <c r="L101" s="318"/>
      <c r="M101" s="318"/>
      <c r="N101" s="318"/>
      <c r="O101" s="320"/>
      <c r="P101" s="320"/>
      <c r="Q101" s="318"/>
      <c r="R101" s="320"/>
      <c r="S101" s="320"/>
      <c r="T101" s="320"/>
      <c r="U101" s="320"/>
      <c r="V101" s="315"/>
    </row>
    <row r="102" spans="1:22">
      <c r="A102" s="310"/>
      <c r="B102" s="55"/>
      <c r="C102" s="307"/>
      <c r="D102" s="308"/>
      <c r="E102" s="308"/>
      <c r="F102" s="308"/>
      <c r="G102" s="308"/>
      <c r="H102" s="308"/>
      <c r="I102" s="308"/>
      <c r="J102" s="309"/>
      <c r="K102" s="309"/>
      <c r="L102" s="308"/>
      <c r="M102" s="308"/>
      <c r="N102" s="308"/>
      <c r="O102" s="309"/>
      <c r="P102" s="309"/>
      <c r="Q102" s="308"/>
      <c r="R102" s="309"/>
      <c r="S102" s="309"/>
      <c r="T102" s="309"/>
      <c r="U102" s="309"/>
      <c r="V102" s="315"/>
    </row>
    <row r="103" spans="1:22">
      <c r="A103" s="310"/>
      <c r="B103" s="311"/>
      <c r="C103" s="312"/>
      <c r="D103" s="313"/>
      <c r="E103" s="313"/>
      <c r="F103" s="313"/>
      <c r="G103" s="313"/>
      <c r="H103" s="313"/>
      <c r="I103" s="313"/>
      <c r="J103" s="314"/>
      <c r="K103" s="314"/>
      <c r="L103" s="313"/>
      <c r="M103" s="313"/>
      <c r="N103" s="313"/>
      <c r="O103" s="314"/>
      <c r="P103" s="314"/>
      <c r="Q103" s="313"/>
      <c r="R103" s="314"/>
      <c r="S103" s="314"/>
      <c r="T103" s="314"/>
      <c r="U103" s="314"/>
      <c r="V103" s="315"/>
    </row>
    <row r="104" spans="1:22">
      <c r="A104" s="310"/>
      <c r="B104" s="316"/>
      <c r="C104" s="317"/>
      <c r="D104" s="318"/>
      <c r="E104" s="318"/>
      <c r="F104" s="318"/>
      <c r="G104" s="318"/>
      <c r="H104" s="318"/>
      <c r="I104" s="318"/>
      <c r="J104" s="320"/>
      <c r="K104" s="320"/>
      <c r="L104" s="318"/>
      <c r="M104" s="318"/>
      <c r="N104" s="318"/>
      <c r="O104" s="320"/>
      <c r="P104" s="320"/>
      <c r="Q104" s="318"/>
      <c r="R104" s="320"/>
      <c r="S104" s="320"/>
      <c r="T104" s="320"/>
      <c r="U104" s="320"/>
      <c r="V104" s="315"/>
    </row>
    <row r="105" spans="1:22">
      <c r="A105" s="310"/>
      <c r="B105" s="55"/>
      <c r="C105" s="307"/>
      <c r="D105" s="308"/>
      <c r="E105" s="308"/>
      <c r="F105" s="308"/>
      <c r="G105" s="308"/>
      <c r="H105" s="308"/>
      <c r="I105" s="308"/>
      <c r="J105" s="309"/>
      <c r="K105" s="309"/>
      <c r="L105" s="308"/>
      <c r="M105" s="308"/>
      <c r="N105" s="308"/>
      <c r="O105" s="309"/>
      <c r="P105" s="309"/>
      <c r="Q105" s="308"/>
      <c r="R105" s="309"/>
      <c r="S105" s="309"/>
      <c r="T105" s="309"/>
      <c r="U105" s="309"/>
      <c r="V105" s="315"/>
    </row>
    <row r="106" spans="1:22">
      <c r="A106" s="310"/>
      <c r="B106" s="311"/>
      <c r="C106" s="312"/>
      <c r="D106" s="313"/>
      <c r="E106" s="313"/>
      <c r="F106" s="313"/>
      <c r="G106" s="313"/>
      <c r="H106" s="313"/>
      <c r="I106" s="313"/>
      <c r="J106" s="314"/>
      <c r="K106" s="314"/>
      <c r="L106" s="313"/>
      <c r="M106" s="313"/>
      <c r="N106" s="313"/>
      <c r="O106" s="314"/>
      <c r="P106" s="314"/>
      <c r="Q106" s="313"/>
      <c r="R106" s="314"/>
      <c r="S106" s="314"/>
      <c r="T106" s="314"/>
      <c r="U106" s="314"/>
      <c r="V106" s="315"/>
    </row>
    <row r="107" spans="1:22">
      <c r="A107" s="310"/>
      <c r="B107" s="316"/>
      <c r="C107" s="317"/>
      <c r="D107" s="318"/>
      <c r="E107" s="318"/>
      <c r="F107" s="318"/>
      <c r="G107" s="318"/>
      <c r="H107" s="318"/>
      <c r="I107" s="318"/>
      <c r="J107" s="320"/>
      <c r="K107" s="320"/>
      <c r="L107" s="318"/>
      <c r="M107" s="318"/>
      <c r="N107" s="318"/>
      <c r="O107" s="320"/>
      <c r="P107" s="320"/>
      <c r="Q107" s="318"/>
      <c r="R107" s="320"/>
      <c r="S107" s="320"/>
      <c r="T107" s="320"/>
      <c r="U107" s="320"/>
      <c r="V107" s="315"/>
    </row>
    <row r="108" spans="1:22">
      <c r="A108" s="310"/>
      <c r="B108" s="55"/>
      <c r="C108" s="307"/>
      <c r="D108" s="308"/>
      <c r="E108" s="308"/>
      <c r="F108" s="308"/>
      <c r="G108" s="308"/>
      <c r="H108" s="308"/>
      <c r="I108" s="308"/>
      <c r="J108" s="309"/>
      <c r="K108" s="309"/>
      <c r="L108" s="308"/>
      <c r="M108" s="308"/>
      <c r="N108" s="308"/>
      <c r="O108" s="309"/>
      <c r="P108" s="309"/>
      <c r="Q108" s="308"/>
      <c r="R108" s="309"/>
      <c r="S108" s="309"/>
      <c r="T108" s="309"/>
      <c r="U108" s="309"/>
      <c r="V108" s="315"/>
    </row>
    <row r="109" spans="1:22">
      <c r="A109" s="310"/>
      <c r="B109" s="311"/>
      <c r="C109" s="312"/>
      <c r="D109" s="313"/>
      <c r="E109" s="313"/>
      <c r="F109" s="313"/>
      <c r="G109" s="313"/>
      <c r="H109" s="313"/>
      <c r="I109" s="313"/>
      <c r="J109" s="314"/>
      <c r="K109" s="314"/>
      <c r="L109" s="313"/>
      <c r="M109" s="313"/>
      <c r="N109" s="313"/>
      <c r="O109" s="314"/>
      <c r="P109" s="314"/>
      <c r="Q109" s="313"/>
      <c r="R109" s="314"/>
      <c r="S109" s="314"/>
      <c r="T109" s="314"/>
      <c r="U109" s="314"/>
      <c r="V109" s="315"/>
    </row>
    <row r="110" spans="1:22">
      <c r="A110" s="310"/>
      <c r="B110" s="316"/>
      <c r="C110" s="317"/>
      <c r="D110" s="318"/>
      <c r="E110" s="318"/>
      <c r="F110" s="318"/>
      <c r="G110" s="318"/>
      <c r="H110" s="318"/>
      <c r="I110" s="318"/>
      <c r="J110" s="320"/>
      <c r="K110" s="320"/>
      <c r="L110" s="318"/>
      <c r="M110" s="318"/>
      <c r="N110" s="318"/>
      <c r="O110" s="320"/>
      <c r="P110" s="320"/>
      <c r="Q110" s="318"/>
      <c r="R110" s="320"/>
      <c r="S110" s="320"/>
      <c r="T110" s="320"/>
      <c r="U110" s="320"/>
      <c r="V110" s="315"/>
    </row>
    <row r="111" spans="1:22">
      <c r="A111" s="310"/>
      <c r="B111" s="55"/>
      <c r="C111" s="307"/>
      <c r="D111" s="308"/>
      <c r="E111" s="308"/>
      <c r="F111" s="308"/>
      <c r="G111" s="308"/>
      <c r="H111" s="308"/>
      <c r="I111" s="308"/>
      <c r="J111" s="309"/>
      <c r="K111" s="309"/>
      <c r="L111" s="308"/>
      <c r="M111" s="308"/>
      <c r="N111" s="308"/>
      <c r="O111" s="309"/>
      <c r="P111" s="309"/>
      <c r="Q111" s="308"/>
      <c r="R111" s="309"/>
      <c r="S111" s="309"/>
      <c r="T111" s="309"/>
      <c r="U111" s="309"/>
      <c r="V111" s="315"/>
    </row>
    <row r="112" spans="1:22">
      <c r="A112" s="310"/>
      <c r="B112" s="311"/>
      <c r="C112" s="312"/>
      <c r="D112" s="313"/>
      <c r="E112" s="313"/>
      <c r="F112" s="313"/>
      <c r="G112" s="313"/>
      <c r="H112" s="313"/>
      <c r="I112" s="313"/>
      <c r="J112" s="314"/>
      <c r="K112" s="314"/>
      <c r="L112" s="313"/>
      <c r="M112" s="313"/>
      <c r="N112" s="313"/>
      <c r="O112" s="314"/>
      <c r="P112" s="314"/>
      <c r="Q112" s="313"/>
      <c r="R112" s="314"/>
      <c r="S112" s="314"/>
      <c r="T112" s="314"/>
      <c r="U112" s="314"/>
      <c r="V112" s="315"/>
    </row>
    <row r="113" spans="1:22" ht="15" thickBot="1">
      <c r="A113" s="326"/>
      <c r="B113" s="327"/>
      <c r="C113" s="328"/>
      <c r="D113" s="329"/>
      <c r="E113" s="329"/>
      <c r="F113" s="329"/>
      <c r="G113" s="329"/>
      <c r="H113" s="329"/>
      <c r="I113" s="329"/>
      <c r="J113" s="330"/>
      <c r="K113" s="330"/>
      <c r="L113" s="329"/>
      <c r="M113" s="329"/>
      <c r="N113" s="329"/>
      <c r="O113" s="330"/>
      <c r="P113" s="330"/>
      <c r="Q113" s="329"/>
      <c r="R113" s="330"/>
      <c r="S113" s="330"/>
      <c r="T113" s="330"/>
      <c r="U113" s="330"/>
      <c r="V113" s="315"/>
    </row>
    <row r="114" spans="1:22">
      <c r="A114" s="306"/>
      <c r="B114" s="55"/>
      <c r="C114" s="307"/>
      <c r="D114" s="308"/>
      <c r="E114" s="308"/>
      <c r="F114" s="308"/>
      <c r="G114" s="308"/>
      <c r="H114" s="308"/>
      <c r="I114" s="308"/>
      <c r="J114" s="309"/>
      <c r="K114" s="309"/>
      <c r="L114" s="308"/>
      <c r="M114" s="308"/>
      <c r="N114" s="308"/>
      <c r="O114" s="309"/>
      <c r="P114" s="309"/>
      <c r="Q114" s="308"/>
      <c r="R114" s="309"/>
      <c r="S114" s="309"/>
      <c r="T114" s="309"/>
      <c r="U114" s="309"/>
      <c r="V114" s="315"/>
    </row>
    <row r="115" spans="1:22">
      <c r="A115" s="310"/>
      <c r="B115" s="311"/>
      <c r="C115" s="312"/>
      <c r="D115" s="313"/>
      <c r="E115" s="313"/>
      <c r="F115" s="313"/>
      <c r="G115" s="313"/>
      <c r="H115" s="313"/>
      <c r="I115" s="313"/>
      <c r="J115" s="314"/>
      <c r="K115" s="314"/>
      <c r="L115" s="313"/>
      <c r="M115" s="313"/>
      <c r="N115" s="313"/>
      <c r="O115" s="314"/>
      <c r="P115" s="314"/>
      <c r="Q115" s="313"/>
      <c r="R115" s="314"/>
      <c r="S115" s="314"/>
      <c r="T115" s="314"/>
      <c r="U115" s="314"/>
      <c r="V115" s="315"/>
    </row>
    <row r="116" spans="1:22">
      <c r="A116" s="310"/>
      <c r="B116" s="316"/>
      <c r="C116" s="317"/>
      <c r="D116" s="318"/>
      <c r="E116" s="318"/>
      <c r="F116" s="318"/>
      <c r="G116" s="318"/>
      <c r="H116" s="318"/>
      <c r="I116" s="318"/>
      <c r="J116" s="320"/>
      <c r="K116" s="320"/>
      <c r="L116" s="318"/>
      <c r="M116" s="318"/>
      <c r="N116" s="318"/>
      <c r="O116" s="320"/>
      <c r="P116" s="320"/>
      <c r="Q116" s="318"/>
      <c r="R116" s="320"/>
      <c r="S116" s="320"/>
      <c r="T116" s="320"/>
      <c r="U116" s="320"/>
      <c r="V116" s="315"/>
    </row>
    <row r="117" spans="1:22">
      <c r="A117" s="310"/>
      <c r="B117" s="55"/>
      <c r="C117" s="307"/>
      <c r="D117" s="308"/>
      <c r="E117" s="308"/>
      <c r="F117" s="308"/>
      <c r="G117" s="308"/>
      <c r="H117" s="308"/>
      <c r="I117" s="308"/>
      <c r="J117" s="309"/>
      <c r="K117" s="309"/>
      <c r="L117" s="308"/>
      <c r="M117" s="308"/>
      <c r="N117" s="308"/>
      <c r="O117" s="309"/>
      <c r="P117" s="309"/>
      <c r="Q117" s="308"/>
      <c r="R117" s="309"/>
      <c r="S117" s="309"/>
      <c r="T117" s="309"/>
      <c r="U117" s="309"/>
      <c r="V117" s="315"/>
    </row>
    <row r="118" spans="1:22">
      <c r="A118" s="310"/>
      <c r="B118" s="311"/>
      <c r="C118" s="312"/>
      <c r="D118" s="313"/>
      <c r="E118" s="313"/>
      <c r="F118" s="313"/>
      <c r="G118" s="313"/>
      <c r="H118" s="313"/>
      <c r="I118" s="313"/>
      <c r="J118" s="314"/>
      <c r="K118" s="314"/>
      <c r="L118" s="313"/>
      <c r="M118" s="313"/>
      <c r="N118" s="313"/>
      <c r="O118" s="314"/>
      <c r="P118" s="314"/>
      <c r="Q118" s="313"/>
      <c r="R118" s="314"/>
      <c r="S118" s="314"/>
      <c r="T118" s="314"/>
      <c r="U118" s="314"/>
      <c r="V118" s="315"/>
    </row>
    <row r="119" spans="1:22">
      <c r="A119" s="310"/>
      <c r="B119" s="316"/>
      <c r="C119" s="317"/>
      <c r="D119" s="318"/>
      <c r="E119" s="318"/>
      <c r="F119" s="318"/>
      <c r="G119" s="318"/>
      <c r="H119" s="318"/>
      <c r="I119" s="318"/>
      <c r="J119" s="320"/>
      <c r="K119" s="320"/>
      <c r="L119" s="318"/>
      <c r="M119" s="318"/>
      <c r="N119" s="318"/>
      <c r="O119" s="320"/>
      <c r="P119" s="320"/>
      <c r="Q119" s="318"/>
      <c r="R119" s="320"/>
      <c r="S119" s="320"/>
      <c r="T119" s="320"/>
      <c r="U119" s="320"/>
      <c r="V119" s="315"/>
    </row>
    <row r="120" spans="1:22">
      <c r="A120" s="310"/>
      <c r="B120" s="55"/>
      <c r="C120" s="307"/>
      <c r="D120" s="308"/>
      <c r="E120" s="308"/>
      <c r="F120" s="308"/>
      <c r="G120" s="308"/>
      <c r="H120" s="308"/>
      <c r="I120" s="308"/>
      <c r="J120" s="309"/>
      <c r="K120" s="309"/>
      <c r="L120" s="308"/>
      <c r="M120" s="308"/>
      <c r="N120" s="308"/>
      <c r="O120" s="309"/>
      <c r="P120" s="309"/>
      <c r="Q120" s="308"/>
      <c r="R120" s="309"/>
      <c r="S120" s="309"/>
      <c r="T120" s="309"/>
      <c r="U120" s="309"/>
      <c r="V120" s="315"/>
    </row>
    <row r="121" spans="1:22">
      <c r="A121" s="310"/>
      <c r="B121" s="311"/>
      <c r="C121" s="312"/>
      <c r="D121" s="313"/>
      <c r="E121" s="313"/>
      <c r="F121" s="313"/>
      <c r="G121" s="313"/>
      <c r="H121" s="313"/>
      <c r="I121" s="313"/>
      <c r="J121" s="314"/>
      <c r="K121" s="314"/>
      <c r="L121" s="313"/>
      <c r="M121" s="313"/>
      <c r="N121" s="313"/>
      <c r="O121" s="314"/>
      <c r="P121" s="314"/>
      <c r="Q121" s="313"/>
      <c r="R121" s="314"/>
      <c r="S121" s="314"/>
      <c r="T121" s="314"/>
      <c r="U121" s="314"/>
      <c r="V121" s="315"/>
    </row>
    <row r="122" spans="1:22">
      <c r="A122" s="310"/>
      <c r="B122" s="316"/>
      <c r="C122" s="317"/>
      <c r="D122" s="318"/>
      <c r="E122" s="318"/>
      <c r="F122" s="318"/>
      <c r="G122" s="318"/>
      <c r="H122" s="318"/>
      <c r="I122" s="318"/>
      <c r="J122" s="320"/>
      <c r="K122" s="320"/>
      <c r="L122" s="318"/>
      <c r="M122" s="318"/>
      <c r="N122" s="318"/>
      <c r="O122" s="320"/>
      <c r="P122" s="320"/>
      <c r="Q122" s="318"/>
      <c r="R122" s="320"/>
      <c r="S122" s="320"/>
      <c r="T122" s="320"/>
      <c r="U122" s="320"/>
      <c r="V122" s="315"/>
    </row>
    <row r="123" spans="1:22">
      <c r="A123" s="310"/>
      <c r="B123" s="55"/>
      <c r="C123" s="307"/>
      <c r="D123" s="308"/>
      <c r="E123" s="308"/>
      <c r="F123" s="308"/>
      <c r="G123" s="308"/>
      <c r="H123" s="308"/>
      <c r="I123" s="308"/>
      <c r="J123" s="309"/>
      <c r="K123" s="309"/>
      <c r="L123" s="308"/>
      <c r="M123" s="308"/>
      <c r="N123" s="308"/>
      <c r="O123" s="309"/>
      <c r="P123" s="309"/>
      <c r="Q123" s="308"/>
      <c r="R123" s="309"/>
      <c r="S123" s="309"/>
      <c r="T123" s="309"/>
      <c r="U123" s="309"/>
      <c r="V123" s="315"/>
    </row>
    <row r="124" spans="1:22">
      <c r="A124" s="310"/>
      <c r="B124" s="311"/>
      <c r="C124" s="312"/>
      <c r="D124" s="313"/>
      <c r="E124" s="313"/>
      <c r="F124" s="313"/>
      <c r="G124" s="313"/>
      <c r="H124" s="313"/>
      <c r="I124" s="313"/>
      <c r="J124" s="314"/>
      <c r="K124" s="314"/>
      <c r="L124" s="313"/>
      <c r="M124" s="313"/>
      <c r="N124" s="313"/>
      <c r="O124" s="314"/>
      <c r="P124" s="314"/>
      <c r="Q124" s="313"/>
      <c r="R124" s="314"/>
      <c r="S124" s="314"/>
      <c r="T124" s="314"/>
      <c r="U124" s="314"/>
      <c r="V124" s="315"/>
    </row>
    <row r="125" spans="1:22">
      <c r="A125" s="310"/>
      <c r="B125" s="316"/>
      <c r="C125" s="317"/>
      <c r="D125" s="318"/>
      <c r="E125" s="318"/>
      <c r="F125" s="318"/>
      <c r="G125" s="318"/>
      <c r="H125" s="318"/>
      <c r="I125" s="318"/>
      <c r="J125" s="320"/>
      <c r="K125" s="320"/>
      <c r="L125" s="318"/>
      <c r="M125" s="318"/>
      <c r="N125" s="318"/>
      <c r="O125" s="320"/>
      <c r="P125" s="320"/>
      <c r="Q125" s="318"/>
      <c r="R125" s="320"/>
      <c r="S125" s="320"/>
      <c r="T125" s="320"/>
      <c r="U125" s="320"/>
      <c r="V125" s="315"/>
    </row>
    <row r="126" spans="1:22">
      <c r="A126" s="310"/>
      <c r="B126" s="55"/>
      <c r="C126" s="307"/>
      <c r="D126" s="308"/>
      <c r="E126" s="308"/>
      <c r="F126" s="308"/>
      <c r="G126" s="308"/>
      <c r="H126" s="308"/>
      <c r="I126" s="308"/>
      <c r="J126" s="309"/>
      <c r="K126" s="309"/>
      <c r="L126" s="308"/>
      <c r="M126" s="308"/>
      <c r="N126" s="308"/>
      <c r="O126" s="309"/>
      <c r="P126" s="309"/>
      <c r="Q126" s="308"/>
      <c r="R126" s="309"/>
      <c r="S126" s="309"/>
      <c r="T126" s="309"/>
      <c r="U126" s="309"/>
      <c r="V126" s="315"/>
    </row>
    <row r="127" spans="1:22">
      <c r="A127" s="310"/>
      <c r="B127" s="311"/>
      <c r="C127" s="312"/>
      <c r="D127" s="313"/>
      <c r="E127" s="313"/>
      <c r="F127" s="313"/>
      <c r="G127" s="313"/>
      <c r="H127" s="313"/>
      <c r="I127" s="313"/>
      <c r="J127" s="314"/>
      <c r="K127" s="314"/>
      <c r="L127" s="313"/>
      <c r="M127" s="313"/>
      <c r="N127" s="313"/>
      <c r="O127" s="314"/>
      <c r="P127" s="314"/>
      <c r="Q127" s="313"/>
      <c r="R127" s="314"/>
      <c r="S127" s="314"/>
      <c r="T127" s="314"/>
      <c r="U127" s="314"/>
      <c r="V127" s="315"/>
    </row>
    <row r="128" spans="1:22">
      <c r="A128" s="310"/>
      <c r="B128" s="316"/>
      <c r="C128" s="317"/>
      <c r="D128" s="318"/>
      <c r="E128" s="318"/>
      <c r="F128" s="318"/>
      <c r="G128" s="318"/>
      <c r="H128" s="318"/>
      <c r="I128" s="318"/>
      <c r="J128" s="320"/>
      <c r="K128" s="320"/>
      <c r="L128" s="318"/>
      <c r="M128" s="318"/>
      <c r="N128" s="318"/>
      <c r="O128" s="320"/>
      <c r="P128" s="320"/>
      <c r="Q128" s="318"/>
      <c r="R128" s="320"/>
      <c r="S128" s="320"/>
      <c r="T128" s="320"/>
      <c r="U128" s="320"/>
      <c r="V128" s="315"/>
    </row>
    <row r="129" spans="1:22">
      <c r="A129" s="310"/>
      <c r="B129" s="55"/>
      <c r="C129" s="307"/>
      <c r="D129" s="308"/>
      <c r="E129" s="308"/>
      <c r="F129" s="308"/>
      <c r="G129" s="308"/>
      <c r="H129" s="308"/>
      <c r="I129" s="308"/>
      <c r="J129" s="309"/>
      <c r="K129" s="309"/>
      <c r="L129" s="308"/>
      <c r="M129" s="308"/>
      <c r="N129" s="308"/>
      <c r="O129" s="309"/>
      <c r="P129" s="309"/>
      <c r="Q129" s="308"/>
      <c r="R129" s="309"/>
      <c r="S129" s="309"/>
      <c r="T129" s="309"/>
      <c r="U129" s="309"/>
      <c r="V129" s="315"/>
    </row>
    <row r="130" spans="1:22">
      <c r="A130" s="310"/>
      <c r="B130" s="311"/>
      <c r="C130" s="312"/>
      <c r="D130" s="313"/>
      <c r="E130" s="313"/>
      <c r="F130" s="313"/>
      <c r="G130" s="313"/>
      <c r="H130" s="313"/>
      <c r="I130" s="313"/>
      <c r="J130" s="314"/>
      <c r="K130" s="314"/>
      <c r="L130" s="313"/>
      <c r="M130" s="313"/>
      <c r="N130" s="313"/>
      <c r="O130" s="314"/>
      <c r="P130" s="314"/>
      <c r="Q130" s="313"/>
      <c r="R130" s="314"/>
      <c r="S130" s="314"/>
      <c r="T130" s="314"/>
      <c r="U130" s="314"/>
      <c r="V130" s="315"/>
    </row>
    <row r="131" spans="1:22" ht="15" thickBot="1">
      <c r="A131" s="310"/>
      <c r="B131" s="322"/>
      <c r="C131" s="323"/>
      <c r="D131" s="324"/>
      <c r="E131" s="324"/>
      <c r="F131" s="324"/>
      <c r="G131" s="324"/>
      <c r="H131" s="324"/>
      <c r="I131" s="324"/>
      <c r="J131" s="325"/>
      <c r="K131" s="325"/>
      <c r="L131" s="324"/>
      <c r="M131" s="324"/>
      <c r="N131" s="324"/>
      <c r="O131" s="325"/>
      <c r="P131" s="325"/>
      <c r="Q131" s="324"/>
      <c r="R131" s="325"/>
      <c r="S131" s="325"/>
      <c r="T131" s="325"/>
      <c r="U131" s="325"/>
      <c r="V131" s="315"/>
    </row>
    <row r="132" spans="1:22" ht="15" thickTop="1">
      <c r="A132" s="310"/>
      <c r="B132" s="311"/>
      <c r="C132" s="312"/>
      <c r="D132" s="313"/>
      <c r="E132" s="313"/>
      <c r="F132" s="313"/>
      <c r="G132" s="313"/>
      <c r="H132" s="313"/>
      <c r="I132" s="313"/>
      <c r="J132" s="314"/>
      <c r="K132" s="314"/>
      <c r="L132" s="313"/>
      <c r="M132" s="313"/>
      <c r="N132" s="313"/>
      <c r="O132" s="314"/>
      <c r="P132" s="314"/>
      <c r="Q132" s="313"/>
      <c r="R132" s="314"/>
      <c r="S132" s="314"/>
      <c r="T132" s="314"/>
      <c r="U132" s="314"/>
      <c r="V132" s="315"/>
    </row>
    <row r="133" spans="1:22">
      <c r="A133" s="310"/>
      <c r="B133" s="311"/>
      <c r="C133" s="312"/>
      <c r="D133" s="313"/>
      <c r="E133" s="313"/>
      <c r="F133" s="313"/>
      <c r="G133" s="313"/>
      <c r="H133" s="313"/>
      <c r="I133" s="313"/>
      <c r="J133" s="314"/>
      <c r="K133" s="314"/>
      <c r="L133" s="313"/>
      <c r="M133" s="313"/>
      <c r="N133" s="313"/>
      <c r="O133" s="314"/>
      <c r="P133" s="314"/>
      <c r="Q133" s="313"/>
      <c r="R133" s="314"/>
      <c r="S133" s="314"/>
      <c r="T133" s="314"/>
      <c r="U133" s="314"/>
      <c r="V133" s="315"/>
    </row>
    <row r="134" spans="1:22">
      <c r="A134" s="310"/>
      <c r="B134" s="316"/>
      <c r="C134" s="317"/>
      <c r="D134" s="318"/>
      <c r="E134" s="318"/>
      <c r="F134" s="318"/>
      <c r="G134" s="318"/>
      <c r="H134" s="318"/>
      <c r="I134" s="318"/>
      <c r="J134" s="320"/>
      <c r="K134" s="320"/>
      <c r="L134" s="318"/>
      <c r="M134" s="318"/>
      <c r="N134" s="318"/>
      <c r="O134" s="320"/>
      <c r="P134" s="320"/>
      <c r="Q134" s="318"/>
      <c r="R134" s="320"/>
      <c r="S134" s="320"/>
      <c r="T134" s="320"/>
      <c r="U134" s="320"/>
      <c r="V134" s="315"/>
    </row>
    <row r="135" spans="1:22">
      <c r="A135" s="310"/>
      <c r="B135" s="55"/>
      <c r="C135" s="307"/>
      <c r="D135" s="308"/>
      <c r="E135" s="308"/>
      <c r="F135" s="308"/>
      <c r="G135" s="308"/>
      <c r="H135" s="308"/>
      <c r="I135" s="308"/>
      <c r="J135" s="309"/>
      <c r="K135" s="309"/>
      <c r="L135" s="308"/>
      <c r="M135" s="308"/>
      <c r="N135" s="308"/>
      <c r="O135" s="309"/>
      <c r="P135" s="309"/>
      <c r="Q135" s="308"/>
      <c r="R135" s="309"/>
      <c r="S135" s="309"/>
      <c r="T135" s="309"/>
      <c r="U135" s="309"/>
      <c r="V135" s="315"/>
    </row>
    <row r="136" spans="1:22">
      <c r="A136" s="310"/>
      <c r="B136" s="311"/>
      <c r="C136" s="312"/>
      <c r="D136" s="313"/>
      <c r="E136" s="313"/>
      <c r="F136" s="313"/>
      <c r="G136" s="313"/>
      <c r="H136" s="313"/>
      <c r="I136" s="313"/>
      <c r="J136" s="314"/>
      <c r="K136" s="314"/>
      <c r="L136" s="313"/>
      <c r="M136" s="313"/>
      <c r="N136" s="313"/>
      <c r="O136" s="314"/>
      <c r="P136" s="314"/>
      <c r="Q136" s="313"/>
      <c r="R136" s="314"/>
      <c r="S136" s="314"/>
      <c r="T136" s="314"/>
      <c r="U136" s="314"/>
      <c r="V136" s="315"/>
    </row>
    <row r="137" spans="1:22">
      <c r="A137" s="310"/>
      <c r="B137" s="316"/>
      <c r="C137" s="317"/>
      <c r="D137" s="318"/>
      <c r="E137" s="318"/>
      <c r="F137" s="318"/>
      <c r="G137" s="318"/>
      <c r="H137" s="318"/>
      <c r="I137" s="318"/>
      <c r="J137" s="320"/>
      <c r="K137" s="320"/>
      <c r="L137" s="318"/>
      <c r="M137" s="318"/>
      <c r="N137" s="318"/>
      <c r="O137" s="320"/>
      <c r="P137" s="320"/>
      <c r="Q137" s="318"/>
      <c r="R137" s="320"/>
      <c r="S137" s="320"/>
      <c r="T137" s="320"/>
      <c r="U137" s="320"/>
      <c r="V137" s="315"/>
    </row>
    <row r="138" spans="1:22">
      <c r="A138" s="310"/>
      <c r="B138" s="55"/>
      <c r="C138" s="307"/>
      <c r="D138" s="308"/>
      <c r="E138" s="308"/>
      <c r="F138" s="308"/>
      <c r="G138" s="308"/>
      <c r="H138" s="308"/>
      <c r="I138" s="308"/>
      <c r="J138" s="309"/>
      <c r="K138" s="309"/>
      <c r="L138" s="308"/>
      <c r="M138" s="308"/>
      <c r="N138" s="308"/>
      <c r="O138" s="309"/>
      <c r="P138" s="309"/>
      <c r="Q138" s="308"/>
      <c r="R138" s="309"/>
      <c r="S138" s="309"/>
      <c r="T138" s="309"/>
      <c r="U138" s="309"/>
      <c r="V138" s="315"/>
    </row>
    <row r="139" spans="1:22">
      <c r="A139" s="310"/>
      <c r="B139" s="311"/>
      <c r="C139" s="312"/>
      <c r="D139" s="313"/>
      <c r="E139" s="313"/>
      <c r="F139" s="313"/>
      <c r="G139" s="313"/>
      <c r="H139" s="313"/>
      <c r="I139" s="313"/>
      <c r="J139" s="314"/>
      <c r="K139" s="314"/>
      <c r="L139" s="313"/>
      <c r="M139" s="313"/>
      <c r="N139" s="313"/>
      <c r="O139" s="314"/>
      <c r="P139" s="314"/>
      <c r="Q139" s="313"/>
      <c r="R139" s="314"/>
      <c r="S139" s="314"/>
      <c r="T139" s="314"/>
      <c r="U139" s="314"/>
      <c r="V139" s="315"/>
    </row>
    <row r="140" spans="1:22">
      <c r="A140" s="310"/>
      <c r="B140" s="316"/>
      <c r="C140" s="317"/>
      <c r="D140" s="318"/>
      <c r="E140" s="318"/>
      <c r="F140" s="318"/>
      <c r="G140" s="318"/>
      <c r="H140" s="318"/>
      <c r="I140" s="318"/>
      <c r="J140" s="320"/>
      <c r="K140" s="320"/>
      <c r="L140" s="318"/>
      <c r="M140" s="318"/>
      <c r="N140" s="318"/>
      <c r="O140" s="320"/>
      <c r="P140" s="320"/>
      <c r="Q140" s="318"/>
      <c r="R140" s="320"/>
      <c r="S140" s="320"/>
      <c r="T140" s="320"/>
      <c r="U140" s="320"/>
      <c r="V140" s="315"/>
    </row>
    <row r="141" spans="1:22">
      <c r="A141" s="310"/>
      <c r="B141" s="55"/>
      <c r="C141" s="307"/>
      <c r="D141" s="308"/>
      <c r="E141" s="308"/>
      <c r="F141" s="308"/>
      <c r="G141" s="308"/>
      <c r="H141" s="308"/>
      <c r="I141" s="308"/>
      <c r="J141" s="309"/>
      <c r="K141" s="309"/>
      <c r="L141" s="308"/>
      <c r="M141" s="308"/>
      <c r="N141" s="308"/>
      <c r="O141" s="309"/>
      <c r="P141" s="309"/>
      <c r="Q141" s="308"/>
      <c r="R141" s="309"/>
      <c r="S141" s="309"/>
      <c r="T141" s="309"/>
      <c r="U141" s="309"/>
      <c r="V141" s="315"/>
    </row>
    <row r="142" spans="1:22">
      <c r="A142" s="310"/>
      <c r="B142" s="311"/>
      <c r="C142" s="312"/>
      <c r="D142" s="313"/>
      <c r="E142" s="313"/>
      <c r="F142" s="313"/>
      <c r="G142" s="313"/>
      <c r="H142" s="313"/>
      <c r="I142" s="313"/>
      <c r="J142" s="314"/>
      <c r="K142" s="314"/>
      <c r="L142" s="313"/>
      <c r="M142" s="313"/>
      <c r="N142" s="313"/>
      <c r="O142" s="314"/>
      <c r="P142" s="314"/>
      <c r="Q142" s="313"/>
      <c r="R142" s="314"/>
      <c r="S142" s="314"/>
      <c r="T142" s="314"/>
      <c r="U142" s="314"/>
      <c r="V142" s="315"/>
    </row>
    <row r="143" spans="1:22">
      <c r="A143" s="310"/>
      <c r="B143" s="316"/>
      <c r="C143" s="317"/>
      <c r="D143" s="318"/>
      <c r="E143" s="318"/>
      <c r="F143" s="318"/>
      <c r="G143" s="318"/>
      <c r="H143" s="318"/>
      <c r="I143" s="318"/>
      <c r="J143" s="320"/>
      <c r="K143" s="320"/>
      <c r="L143" s="318"/>
      <c r="M143" s="318"/>
      <c r="N143" s="318"/>
      <c r="O143" s="320"/>
      <c r="P143" s="320"/>
      <c r="Q143" s="318"/>
      <c r="R143" s="320"/>
      <c r="S143" s="320"/>
      <c r="T143" s="320"/>
      <c r="U143" s="320"/>
      <c r="V143" s="315"/>
    </row>
    <row r="144" spans="1:22">
      <c r="A144" s="310"/>
      <c r="B144" s="55"/>
      <c r="C144" s="307"/>
      <c r="D144" s="308"/>
      <c r="E144" s="308"/>
      <c r="F144" s="308"/>
      <c r="G144" s="308"/>
      <c r="H144" s="308"/>
      <c r="I144" s="308"/>
      <c r="J144" s="309"/>
      <c r="K144" s="309"/>
      <c r="L144" s="308"/>
      <c r="M144" s="308"/>
      <c r="N144" s="308"/>
      <c r="O144" s="309"/>
      <c r="P144" s="309"/>
      <c r="Q144" s="308"/>
      <c r="R144" s="309"/>
      <c r="S144" s="309"/>
      <c r="T144" s="309"/>
      <c r="U144" s="309"/>
      <c r="V144" s="315"/>
    </row>
    <row r="145" spans="1:22">
      <c r="A145" s="310"/>
      <c r="B145" s="311"/>
      <c r="C145" s="312"/>
      <c r="D145" s="313"/>
      <c r="E145" s="313"/>
      <c r="F145" s="313"/>
      <c r="G145" s="313"/>
      <c r="H145" s="313"/>
      <c r="I145" s="313"/>
      <c r="J145" s="314"/>
      <c r="K145" s="314"/>
      <c r="L145" s="313"/>
      <c r="M145" s="313"/>
      <c r="N145" s="313"/>
      <c r="O145" s="314"/>
      <c r="P145" s="314"/>
      <c r="Q145" s="313"/>
      <c r="R145" s="314"/>
      <c r="S145" s="314"/>
      <c r="T145" s="314"/>
      <c r="U145" s="314"/>
      <c r="V145" s="315"/>
    </row>
    <row r="146" spans="1:22">
      <c r="A146" s="310"/>
      <c r="B146" s="316"/>
      <c r="C146" s="317"/>
      <c r="D146" s="318"/>
      <c r="E146" s="318"/>
      <c r="F146" s="318"/>
      <c r="G146" s="318"/>
      <c r="H146" s="318"/>
      <c r="I146" s="318"/>
      <c r="J146" s="320"/>
      <c r="K146" s="320"/>
      <c r="L146" s="318"/>
      <c r="M146" s="318"/>
      <c r="N146" s="318"/>
      <c r="O146" s="320"/>
      <c r="P146" s="320"/>
      <c r="Q146" s="318"/>
      <c r="R146" s="320"/>
      <c r="S146" s="320"/>
      <c r="T146" s="320"/>
      <c r="U146" s="320"/>
      <c r="V146" s="315"/>
    </row>
    <row r="147" spans="1:22">
      <c r="A147" s="310"/>
      <c r="B147" s="55"/>
      <c r="C147" s="307"/>
      <c r="D147" s="308"/>
      <c r="E147" s="308"/>
      <c r="F147" s="308"/>
      <c r="G147" s="308"/>
      <c r="H147" s="308"/>
      <c r="I147" s="308"/>
      <c r="J147" s="309"/>
      <c r="K147" s="309"/>
      <c r="L147" s="308"/>
      <c r="M147" s="308"/>
      <c r="N147" s="308"/>
      <c r="O147" s="309"/>
      <c r="P147" s="309"/>
      <c r="Q147" s="308"/>
      <c r="R147" s="309"/>
      <c r="S147" s="309"/>
      <c r="T147" s="309"/>
      <c r="U147" s="309"/>
      <c r="V147" s="315"/>
    </row>
    <row r="148" spans="1:22">
      <c r="A148" s="310"/>
      <c r="B148" s="311"/>
      <c r="C148" s="312"/>
      <c r="D148" s="313"/>
      <c r="E148" s="313"/>
      <c r="F148" s="313"/>
      <c r="G148" s="313"/>
      <c r="H148" s="313"/>
      <c r="I148" s="313"/>
      <c r="J148" s="314"/>
      <c r="K148" s="314"/>
      <c r="L148" s="313"/>
      <c r="M148" s="313"/>
      <c r="N148" s="313"/>
      <c r="O148" s="314"/>
      <c r="P148" s="314"/>
      <c r="Q148" s="313"/>
      <c r="R148" s="314"/>
      <c r="S148" s="314"/>
      <c r="T148" s="314"/>
      <c r="U148" s="314"/>
      <c r="V148" s="315"/>
    </row>
    <row r="149" spans="1:22" ht="15" thickBot="1">
      <c r="A149" s="326"/>
      <c r="B149" s="327"/>
      <c r="C149" s="328"/>
      <c r="D149" s="329"/>
      <c r="E149" s="329"/>
      <c r="F149" s="329"/>
      <c r="G149" s="329"/>
      <c r="H149" s="329"/>
      <c r="I149" s="329"/>
      <c r="J149" s="330"/>
      <c r="K149" s="330"/>
      <c r="L149" s="329"/>
      <c r="M149" s="329"/>
      <c r="N149" s="329"/>
      <c r="O149" s="330"/>
      <c r="P149" s="330"/>
      <c r="Q149" s="329"/>
      <c r="R149" s="330"/>
      <c r="S149" s="330"/>
      <c r="T149" s="330"/>
      <c r="U149" s="330"/>
      <c r="V149" s="315"/>
    </row>
    <row r="150" spans="1:22">
      <c r="A150" s="306"/>
      <c r="B150" s="55"/>
      <c r="C150" s="307"/>
      <c r="D150" s="308"/>
      <c r="E150" s="308"/>
      <c r="F150" s="308"/>
      <c r="G150" s="308"/>
      <c r="H150" s="308"/>
      <c r="I150" s="308"/>
      <c r="J150" s="309"/>
      <c r="K150" s="309"/>
      <c r="L150" s="308"/>
      <c r="M150" s="308"/>
      <c r="N150" s="308"/>
      <c r="O150" s="309"/>
      <c r="P150" s="309"/>
      <c r="Q150" s="308"/>
      <c r="R150" s="309"/>
      <c r="S150" s="309"/>
      <c r="T150" s="309"/>
      <c r="U150" s="309"/>
      <c r="V150" s="315"/>
    </row>
    <row r="151" spans="1:22">
      <c r="A151" s="310"/>
      <c r="B151" s="311"/>
      <c r="C151" s="312"/>
      <c r="D151" s="313"/>
      <c r="E151" s="313"/>
      <c r="F151" s="313"/>
      <c r="G151" s="313"/>
      <c r="H151" s="313"/>
      <c r="I151" s="313"/>
      <c r="J151" s="314"/>
      <c r="K151" s="314"/>
      <c r="L151" s="313"/>
      <c r="M151" s="313"/>
      <c r="N151" s="313"/>
      <c r="O151" s="314"/>
      <c r="P151" s="314"/>
      <c r="Q151" s="313"/>
      <c r="R151" s="314"/>
      <c r="S151" s="314"/>
      <c r="T151" s="314"/>
      <c r="U151" s="314"/>
      <c r="V151" s="315"/>
    </row>
    <row r="152" spans="1:22">
      <c r="A152" s="310"/>
      <c r="B152" s="316"/>
      <c r="C152" s="317"/>
      <c r="D152" s="318"/>
      <c r="E152" s="318"/>
      <c r="F152" s="318"/>
      <c r="G152" s="318"/>
      <c r="H152" s="318"/>
      <c r="I152" s="318"/>
      <c r="J152" s="320"/>
      <c r="K152" s="320"/>
      <c r="L152" s="318"/>
      <c r="M152" s="318"/>
      <c r="N152" s="318"/>
      <c r="O152" s="320"/>
      <c r="P152" s="320"/>
      <c r="Q152" s="318"/>
      <c r="R152" s="320"/>
      <c r="S152" s="320"/>
      <c r="T152" s="320"/>
      <c r="U152" s="320"/>
      <c r="V152" s="315"/>
    </row>
    <row r="153" spans="1:22">
      <c r="A153" s="310"/>
      <c r="B153" s="55"/>
      <c r="C153" s="307"/>
      <c r="D153" s="308"/>
      <c r="E153" s="308"/>
      <c r="F153" s="308"/>
      <c r="G153" s="308"/>
      <c r="H153" s="308"/>
      <c r="I153" s="308"/>
      <c r="J153" s="309"/>
      <c r="K153" s="309"/>
      <c r="L153" s="308"/>
      <c r="M153" s="308"/>
      <c r="N153" s="308"/>
      <c r="O153" s="309"/>
      <c r="P153" s="309"/>
      <c r="Q153" s="308"/>
      <c r="R153" s="309"/>
      <c r="S153" s="309"/>
      <c r="T153" s="309"/>
      <c r="U153" s="309"/>
      <c r="V153" s="315"/>
    </row>
    <row r="154" spans="1:22">
      <c r="A154" s="310"/>
      <c r="B154" s="311"/>
      <c r="C154" s="312"/>
      <c r="D154" s="313"/>
      <c r="E154" s="313"/>
      <c r="F154" s="313"/>
      <c r="G154" s="313"/>
      <c r="H154" s="313"/>
      <c r="I154" s="313"/>
      <c r="J154" s="314"/>
      <c r="K154" s="314"/>
      <c r="L154" s="313"/>
      <c r="M154" s="313"/>
      <c r="N154" s="313"/>
      <c r="O154" s="314"/>
      <c r="P154" s="314"/>
      <c r="Q154" s="313"/>
      <c r="R154" s="314"/>
      <c r="S154" s="314"/>
      <c r="T154" s="314"/>
      <c r="U154" s="314"/>
      <c r="V154" s="315"/>
    </row>
    <row r="155" spans="1:22">
      <c r="A155" s="310"/>
      <c r="B155" s="316"/>
      <c r="C155" s="317"/>
      <c r="D155" s="318"/>
      <c r="E155" s="318"/>
      <c r="F155" s="318"/>
      <c r="G155" s="318"/>
      <c r="H155" s="318"/>
      <c r="I155" s="318"/>
      <c r="J155" s="320"/>
      <c r="K155" s="320"/>
      <c r="L155" s="318"/>
      <c r="M155" s="318"/>
      <c r="N155" s="318"/>
      <c r="O155" s="320"/>
      <c r="P155" s="320"/>
      <c r="Q155" s="318"/>
      <c r="R155" s="320"/>
      <c r="S155" s="320"/>
      <c r="T155" s="320"/>
      <c r="U155" s="320"/>
      <c r="V155" s="315"/>
    </row>
    <row r="156" spans="1:22">
      <c r="A156" s="310"/>
      <c r="B156" s="55"/>
      <c r="C156" s="307"/>
      <c r="D156" s="308"/>
      <c r="E156" s="308"/>
      <c r="F156" s="308"/>
      <c r="G156" s="308"/>
      <c r="H156" s="308"/>
      <c r="I156" s="308"/>
      <c r="J156" s="309"/>
      <c r="K156" s="309"/>
      <c r="L156" s="308"/>
      <c r="M156" s="308"/>
      <c r="N156" s="308"/>
      <c r="O156" s="309"/>
      <c r="P156" s="309"/>
      <c r="Q156" s="308"/>
      <c r="R156" s="309"/>
      <c r="S156" s="309"/>
      <c r="T156" s="309"/>
      <c r="U156" s="309"/>
      <c r="V156" s="315"/>
    </row>
    <row r="157" spans="1:22">
      <c r="A157" s="310"/>
      <c r="B157" s="311"/>
      <c r="C157" s="312"/>
      <c r="D157" s="313"/>
      <c r="E157" s="313"/>
      <c r="F157" s="313"/>
      <c r="G157" s="313"/>
      <c r="H157" s="313"/>
      <c r="I157" s="313"/>
      <c r="J157" s="314"/>
      <c r="K157" s="314"/>
      <c r="L157" s="313"/>
      <c r="M157" s="313"/>
      <c r="N157" s="313"/>
      <c r="O157" s="314"/>
      <c r="P157" s="314"/>
      <c r="Q157" s="313"/>
      <c r="R157" s="314"/>
      <c r="S157" s="314"/>
      <c r="T157" s="314"/>
      <c r="U157" s="314"/>
      <c r="V157" s="315"/>
    </row>
    <row r="158" spans="1:22">
      <c r="A158" s="310"/>
      <c r="B158" s="316"/>
      <c r="C158" s="317"/>
      <c r="D158" s="318"/>
      <c r="E158" s="318"/>
      <c r="F158" s="318"/>
      <c r="G158" s="318"/>
      <c r="H158" s="318"/>
      <c r="I158" s="318"/>
      <c r="J158" s="320"/>
      <c r="K158" s="320"/>
      <c r="L158" s="318"/>
      <c r="M158" s="318"/>
      <c r="N158" s="318"/>
      <c r="O158" s="320"/>
      <c r="P158" s="320"/>
      <c r="Q158" s="318"/>
      <c r="R158" s="320"/>
      <c r="S158" s="320"/>
      <c r="T158" s="320"/>
      <c r="U158" s="320"/>
      <c r="V158" s="315"/>
    </row>
    <row r="159" spans="1:22">
      <c r="A159" s="310"/>
      <c r="B159" s="55"/>
      <c r="C159" s="307"/>
      <c r="D159" s="308"/>
      <c r="E159" s="308"/>
      <c r="F159" s="308"/>
      <c r="G159" s="308"/>
      <c r="H159" s="308"/>
      <c r="I159" s="308"/>
      <c r="J159" s="309"/>
      <c r="K159" s="309"/>
      <c r="L159" s="308"/>
      <c r="M159" s="308"/>
      <c r="N159" s="308"/>
      <c r="O159" s="309"/>
      <c r="P159" s="309"/>
      <c r="Q159" s="308"/>
      <c r="R159" s="309"/>
      <c r="S159" s="309"/>
      <c r="T159" s="309"/>
      <c r="U159" s="309"/>
      <c r="V159" s="315"/>
    </row>
    <row r="160" spans="1:22">
      <c r="A160" s="310"/>
      <c r="B160" s="311"/>
      <c r="C160" s="312"/>
      <c r="D160" s="313"/>
      <c r="E160" s="313"/>
      <c r="F160" s="313"/>
      <c r="G160" s="313"/>
      <c r="H160" s="313"/>
      <c r="I160" s="313"/>
      <c r="J160" s="314"/>
      <c r="K160" s="314"/>
      <c r="L160" s="313"/>
      <c r="M160" s="313"/>
      <c r="N160" s="313"/>
      <c r="O160" s="314"/>
      <c r="P160" s="314"/>
      <c r="Q160" s="313"/>
      <c r="R160" s="314"/>
      <c r="S160" s="314"/>
      <c r="T160" s="314"/>
      <c r="U160" s="314"/>
      <c r="V160" s="315"/>
    </row>
    <row r="161" spans="1:22">
      <c r="A161" s="310"/>
      <c r="B161" s="316"/>
      <c r="C161" s="317"/>
      <c r="D161" s="318"/>
      <c r="E161" s="318"/>
      <c r="F161" s="318"/>
      <c r="G161" s="318"/>
      <c r="H161" s="318"/>
      <c r="I161" s="318"/>
      <c r="J161" s="320"/>
      <c r="K161" s="320"/>
      <c r="L161" s="318"/>
      <c r="M161" s="318"/>
      <c r="N161" s="318"/>
      <c r="O161" s="320"/>
      <c r="P161" s="320"/>
      <c r="Q161" s="318"/>
      <c r="R161" s="320"/>
      <c r="S161" s="320"/>
      <c r="T161" s="320"/>
      <c r="U161" s="320"/>
      <c r="V161" s="315"/>
    </row>
    <row r="162" spans="1:22">
      <c r="A162" s="310"/>
      <c r="B162" s="55"/>
      <c r="C162" s="307"/>
      <c r="D162" s="308"/>
      <c r="E162" s="308"/>
      <c r="F162" s="308"/>
      <c r="G162" s="308"/>
      <c r="H162" s="308"/>
      <c r="I162" s="308"/>
      <c r="J162" s="309"/>
      <c r="K162" s="309"/>
      <c r="L162" s="308"/>
      <c r="M162" s="308"/>
      <c r="N162" s="308"/>
      <c r="O162" s="309"/>
      <c r="P162" s="309"/>
      <c r="Q162" s="308"/>
      <c r="R162" s="309"/>
      <c r="S162" s="309"/>
      <c r="T162" s="309"/>
      <c r="U162" s="309"/>
      <c r="V162" s="315"/>
    </row>
    <row r="163" spans="1:22">
      <c r="A163" s="310"/>
      <c r="B163" s="311"/>
      <c r="C163" s="312"/>
      <c r="D163" s="313"/>
      <c r="E163" s="313"/>
      <c r="F163" s="313"/>
      <c r="G163" s="313"/>
      <c r="H163" s="313"/>
      <c r="I163" s="313"/>
      <c r="J163" s="314"/>
      <c r="K163" s="314"/>
      <c r="L163" s="313"/>
      <c r="M163" s="313"/>
      <c r="N163" s="313"/>
      <c r="O163" s="314"/>
      <c r="P163" s="314"/>
      <c r="Q163" s="313"/>
      <c r="R163" s="314"/>
      <c r="S163" s="314"/>
      <c r="T163" s="314"/>
      <c r="U163" s="314"/>
      <c r="V163" s="315"/>
    </row>
    <row r="164" spans="1:22">
      <c r="A164" s="310"/>
      <c r="B164" s="316"/>
      <c r="C164" s="317"/>
      <c r="D164" s="318"/>
      <c r="E164" s="318"/>
      <c r="F164" s="318"/>
      <c r="G164" s="318"/>
      <c r="H164" s="318"/>
      <c r="I164" s="318"/>
      <c r="J164" s="320"/>
      <c r="K164" s="320"/>
      <c r="L164" s="318"/>
      <c r="M164" s="318"/>
      <c r="N164" s="318"/>
      <c r="O164" s="320"/>
      <c r="P164" s="320"/>
      <c r="Q164" s="318"/>
      <c r="R164" s="320"/>
      <c r="S164" s="320"/>
      <c r="T164" s="320"/>
      <c r="U164" s="320"/>
      <c r="V164" s="315"/>
    </row>
    <row r="165" spans="1:22">
      <c r="A165" s="310"/>
      <c r="B165" s="55"/>
      <c r="C165" s="307"/>
      <c r="D165" s="308"/>
      <c r="E165" s="308"/>
      <c r="F165" s="308"/>
      <c r="G165" s="308"/>
      <c r="H165" s="308"/>
      <c r="I165" s="308"/>
      <c r="J165" s="309"/>
      <c r="K165" s="309"/>
      <c r="L165" s="308"/>
      <c r="M165" s="308"/>
      <c r="N165" s="308"/>
      <c r="O165" s="309"/>
      <c r="P165" s="309"/>
      <c r="Q165" s="308"/>
      <c r="R165" s="309"/>
      <c r="S165" s="309"/>
      <c r="T165" s="309"/>
      <c r="U165" s="309"/>
      <c r="V165" s="315"/>
    </row>
    <row r="166" spans="1:22">
      <c r="A166" s="310"/>
      <c r="B166" s="311"/>
      <c r="C166" s="312"/>
      <c r="D166" s="313"/>
      <c r="E166" s="313"/>
      <c r="F166" s="313"/>
      <c r="G166" s="313"/>
      <c r="H166" s="313"/>
      <c r="I166" s="313"/>
      <c r="J166" s="314"/>
      <c r="K166" s="314"/>
      <c r="L166" s="313"/>
      <c r="M166" s="313"/>
      <c r="N166" s="313"/>
      <c r="O166" s="314"/>
      <c r="P166" s="314"/>
      <c r="Q166" s="313"/>
      <c r="R166" s="314"/>
      <c r="S166" s="314"/>
      <c r="T166" s="314"/>
      <c r="U166" s="314"/>
      <c r="V166" s="315"/>
    </row>
    <row r="167" spans="1:22" ht="15" thickBot="1">
      <c r="A167" s="310"/>
      <c r="B167" s="322"/>
      <c r="C167" s="323"/>
      <c r="D167" s="324"/>
      <c r="E167" s="324"/>
      <c r="F167" s="324"/>
      <c r="G167" s="324"/>
      <c r="H167" s="324"/>
      <c r="I167" s="324"/>
      <c r="J167" s="325"/>
      <c r="K167" s="325"/>
      <c r="L167" s="324"/>
      <c r="M167" s="324"/>
      <c r="N167" s="324"/>
      <c r="O167" s="325"/>
      <c r="P167" s="325"/>
      <c r="Q167" s="324"/>
      <c r="R167" s="325"/>
      <c r="S167" s="325"/>
      <c r="T167" s="325"/>
      <c r="U167" s="325"/>
      <c r="V167" s="315"/>
    </row>
    <row r="168" spans="1:22" ht="15" thickTop="1">
      <c r="A168" s="310"/>
      <c r="B168" s="311"/>
      <c r="C168" s="312"/>
      <c r="D168" s="313"/>
      <c r="E168" s="313"/>
      <c r="F168" s="313"/>
      <c r="G168" s="313"/>
      <c r="H168" s="313"/>
      <c r="I168" s="313"/>
      <c r="J168" s="314"/>
      <c r="K168" s="314"/>
      <c r="L168" s="313"/>
      <c r="M168" s="313"/>
      <c r="N168" s="313"/>
      <c r="O168" s="314"/>
      <c r="P168" s="314"/>
      <c r="Q168" s="313"/>
      <c r="R168" s="314"/>
      <c r="S168" s="314"/>
      <c r="T168" s="314"/>
      <c r="U168" s="314"/>
      <c r="V168" s="315"/>
    </row>
    <row r="169" spans="1:22">
      <c r="A169" s="310"/>
      <c r="B169" s="311"/>
      <c r="C169" s="312"/>
      <c r="D169" s="313"/>
      <c r="E169" s="313"/>
      <c r="F169" s="313"/>
      <c r="G169" s="313"/>
      <c r="H169" s="313"/>
      <c r="I169" s="313"/>
      <c r="J169" s="314"/>
      <c r="K169" s="314"/>
      <c r="L169" s="313"/>
      <c r="M169" s="313"/>
      <c r="N169" s="313"/>
      <c r="O169" s="314"/>
      <c r="P169" s="314"/>
      <c r="Q169" s="313"/>
      <c r="R169" s="314"/>
      <c r="S169" s="314"/>
      <c r="T169" s="314"/>
      <c r="U169" s="314"/>
      <c r="V169" s="315"/>
    </row>
    <row r="170" spans="1:22">
      <c r="A170" s="310"/>
      <c r="B170" s="316"/>
      <c r="C170" s="317"/>
      <c r="D170" s="318"/>
      <c r="E170" s="318"/>
      <c r="F170" s="318"/>
      <c r="G170" s="318"/>
      <c r="H170" s="318"/>
      <c r="I170" s="318"/>
      <c r="J170" s="320"/>
      <c r="K170" s="320"/>
      <c r="L170" s="318"/>
      <c r="M170" s="318"/>
      <c r="N170" s="318"/>
      <c r="O170" s="320"/>
      <c r="P170" s="320"/>
      <c r="Q170" s="318"/>
      <c r="R170" s="320"/>
      <c r="S170" s="320"/>
      <c r="T170" s="320"/>
      <c r="U170" s="320"/>
      <c r="V170" s="315"/>
    </row>
    <row r="171" spans="1:22">
      <c r="A171" s="310"/>
      <c r="B171" s="55"/>
      <c r="C171" s="307"/>
      <c r="D171" s="308"/>
      <c r="E171" s="308"/>
      <c r="F171" s="308"/>
      <c r="G171" s="308"/>
      <c r="H171" s="308"/>
      <c r="I171" s="308"/>
      <c r="J171" s="309"/>
      <c r="K171" s="309"/>
      <c r="L171" s="308"/>
      <c r="M171" s="308"/>
      <c r="N171" s="308"/>
      <c r="O171" s="309"/>
      <c r="P171" s="309"/>
      <c r="Q171" s="308"/>
      <c r="R171" s="309"/>
      <c r="S171" s="309"/>
      <c r="T171" s="309"/>
      <c r="U171" s="309"/>
      <c r="V171" s="315"/>
    </row>
    <row r="172" spans="1:22">
      <c r="A172" s="310"/>
      <c r="B172" s="311"/>
      <c r="C172" s="312"/>
      <c r="D172" s="313"/>
      <c r="E172" s="313"/>
      <c r="F172" s="313"/>
      <c r="G172" s="313"/>
      <c r="H172" s="313"/>
      <c r="I172" s="313"/>
      <c r="J172" s="314"/>
      <c r="K172" s="314"/>
      <c r="L172" s="313"/>
      <c r="M172" s="313"/>
      <c r="N172" s="313"/>
      <c r="O172" s="314"/>
      <c r="P172" s="314"/>
      <c r="Q172" s="313"/>
      <c r="R172" s="314"/>
      <c r="S172" s="314"/>
      <c r="T172" s="314"/>
      <c r="U172" s="314"/>
      <c r="V172" s="315"/>
    </row>
    <row r="173" spans="1:22">
      <c r="A173" s="310"/>
      <c r="B173" s="316"/>
      <c r="C173" s="317"/>
      <c r="D173" s="318"/>
      <c r="E173" s="318"/>
      <c r="F173" s="318"/>
      <c r="G173" s="318"/>
      <c r="H173" s="318"/>
      <c r="I173" s="318"/>
      <c r="J173" s="320"/>
      <c r="K173" s="320"/>
      <c r="L173" s="318"/>
      <c r="M173" s="318"/>
      <c r="N173" s="318"/>
      <c r="O173" s="320"/>
      <c r="P173" s="320"/>
      <c r="Q173" s="318"/>
      <c r="R173" s="320"/>
      <c r="S173" s="320"/>
      <c r="T173" s="320"/>
      <c r="U173" s="320"/>
      <c r="V173" s="315"/>
    </row>
    <row r="174" spans="1:22">
      <c r="A174" s="310"/>
      <c r="B174" s="55"/>
      <c r="C174" s="307"/>
      <c r="D174" s="308"/>
      <c r="E174" s="308"/>
      <c r="F174" s="308"/>
      <c r="G174" s="308"/>
      <c r="H174" s="308"/>
      <c r="I174" s="308"/>
      <c r="J174" s="309"/>
      <c r="K174" s="309"/>
      <c r="L174" s="308"/>
      <c r="M174" s="308"/>
      <c r="N174" s="308"/>
      <c r="O174" s="309"/>
      <c r="P174" s="309"/>
      <c r="Q174" s="308"/>
      <c r="R174" s="309"/>
      <c r="S174" s="309"/>
      <c r="T174" s="309"/>
      <c r="U174" s="309"/>
      <c r="V174" s="315"/>
    </row>
    <row r="175" spans="1:22">
      <c r="A175" s="310"/>
      <c r="B175" s="311"/>
      <c r="C175" s="312"/>
      <c r="D175" s="313"/>
      <c r="E175" s="313"/>
      <c r="F175" s="313"/>
      <c r="G175" s="313"/>
      <c r="H175" s="313"/>
      <c r="I175" s="313"/>
      <c r="J175" s="314"/>
      <c r="K175" s="314"/>
      <c r="L175" s="313"/>
      <c r="M175" s="313"/>
      <c r="N175" s="313"/>
      <c r="O175" s="314"/>
      <c r="P175" s="314"/>
      <c r="Q175" s="313"/>
      <c r="R175" s="314"/>
      <c r="S175" s="314"/>
      <c r="T175" s="314"/>
      <c r="U175" s="314"/>
      <c r="V175" s="315"/>
    </row>
    <row r="176" spans="1:22">
      <c r="A176" s="310"/>
      <c r="B176" s="316"/>
      <c r="C176" s="317"/>
      <c r="D176" s="318"/>
      <c r="E176" s="318"/>
      <c r="F176" s="318"/>
      <c r="G176" s="318"/>
      <c r="H176" s="318"/>
      <c r="I176" s="318"/>
      <c r="J176" s="320"/>
      <c r="K176" s="320"/>
      <c r="L176" s="318"/>
      <c r="M176" s="318"/>
      <c r="N176" s="318"/>
      <c r="O176" s="320"/>
      <c r="P176" s="320"/>
      <c r="Q176" s="318"/>
      <c r="R176" s="320"/>
      <c r="S176" s="320"/>
      <c r="T176" s="320"/>
      <c r="U176" s="320"/>
      <c r="V176" s="315"/>
    </row>
    <row r="177" spans="1:22">
      <c r="A177" s="310"/>
      <c r="B177" s="55"/>
      <c r="C177" s="307"/>
      <c r="D177" s="308"/>
      <c r="E177" s="308"/>
      <c r="F177" s="308"/>
      <c r="G177" s="308"/>
      <c r="H177" s="308"/>
      <c r="I177" s="308"/>
      <c r="J177" s="309"/>
      <c r="K177" s="309"/>
      <c r="L177" s="308"/>
      <c r="M177" s="308"/>
      <c r="N177" s="308"/>
      <c r="O177" s="309"/>
      <c r="P177" s="309"/>
      <c r="Q177" s="308"/>
      <c r="R177" s="309"/>
      <c r="S177" s="309"/>
      <c r="T177" s="309"/>
      <c r="U177" s="309"/>
      <c r="V177" s="315"/>
    </row>
    <row r="178" spans="1:22">
      <c r="A178" s="310"/>
      <c r="B178" s="311"/>
      <c r="C178" s="312"/>
      <c r="D178" s="313"/>
      <c r="E178" s="313"/>
      <c r="F178" s="313"/>
      <c r="G178" s="313"/>
      <c r="H178" s="313"/>
      <c r="I178" s="313"/>
      <c r="J178" s="314"/>
      <c r="K178" s="314"/>
      <c r="L178" s="313"/>
      <c r="M178" s="313"/>
      <c r="N178" s="313"/>
      <c r="O178" s="314"/>
      <c r="P178" s="314"/>
      <c r="Q178" s="313"/>
      <c r="R178" s="314"/>
      <c r="S178" s="314"/>
      <c r="T178" s="314"/>
      <c r="U178" s="314"/>
      <c r="V178" s="315"/>
    </row>
    <row r="179" spans="1:22">
      <c r="A179" s="310"/>
      <c r="B179" s="316"/>
      <c r="C179" s="317"/>
      <c r="D179" s="318"/>
      <c r="E179" s="318"/>
      <c r="F179" s="318"/>
      <c r="G179" s="318"/>
      <c r="H179" s="318"/>
      <c r="I179" s="318"/>
      <c r="J179" s="320"/>
      <c r="K179" s="320"/>
      <c r="L179" s="318"/>
      <c r="M179" s="318"/>
      <c r="N179" s="318"/>
      <c r="O179" s="320"/>
      <c r="P179" s="320"/>
      <c r="Q179" s="318"/>
      <c r="R179" s="320"/>
      <c r="S179" s="320"/>
      <c r="T179" s="320"/>
      <c r="U179" s="320"/>
      <c r="V179" s="315"/>
    </row>
    <row r="180" spans="1:22">
      <c r="A180" s="310"/>
      <c r="B180" s="55"/>
      <c r="C180" s="307"/>
      <c r="D180" s="308"/>
      <c r="E180" s="308"/>
      <c r="F180" s="308"/>
      <c r="G180" s="308"/>
      <c r="H180" s="308"/>
      <c r="I180" s="308"/>
      <c r="J180" s="309"/>
      <c r="K180" s="309"/>
      <c r="L180" s="308"/>
      <c r="M180" s="308"/>
      <c r="N180" s="308"/>
      <c r="O180" s="309"/>
      <c r="P180" s="309"/>
      <c r="Q180" s="308"/>
      <c r="R180" s="309"/>
      <c r="S180" s="309"/>
      <c r="T180" s="309"/>
      <c r="U180" s="309"/>
      <c r="V180" s="315"/>
    </row>
    <row r="181" spans="1:22">
      <c r="A181" s="310"/>
      <c r="B181" s="311"/>
      <c r="C181" s="312"/>
      <c r="D181" s="313"/>
      <c r="E181" s="313"/>
      <c r="F181" s="313"/>
      <c r="G181" s="313"/>
      <c r="H181" s="313"/>
      <c r="I181" s="313"/>
      <c r="J181" s="314"/>
      <c r="K181" s="314"/>
      <c r="L181" s="313"/>
      <c r="M181" s="313"/>
      <c r="N181" s="313"/>
      <c r="O181" s="314"/>
      <c r="P181" s="314"/>
      <c r="Q181" s="313"/>
      <c r="R181" s="314"/>
      <c r="S181" s="314"/>
      <c r="T181" s="314"/>
      <c r="U181" s="314"/>
      <c r="V181" s="315"/>
    </row>
    <row r="182" spans="1:22">
      <c r="A182" s="310"/>
      <c r="B182" s="316"/>
      <c r="C182" s="317"/>
      <c r="D182" s="318"/>
      <c r="E182" s="318"/>
      <c r="F182" s="318"/>
      <c r="G182" s="318"/>
      <c r="H182" s="318"/>
      <c r="I182" s="318"/>
      <c r="J182" s="320"/>
      <c r="K182" s="320"/>
      <c r="L182" s="318"/>
      <c r="M182" s="318"/>
      <c r="N182" s="318"/>
      <c r="O182" s="320"/>
      <c r="P182" s="320"/>
      <c r="Q182" s="318"/>
      <c r="R182" s="320"/>
      <c r="S182" s="320"/>
      <c r="T182" s="320"/>
      <c r="U182" s="320"/>
      <c r="V182" s="315"/>
    </row>
    <row r="183" spans="1:22">
      <c r="A183" s="310"/>
      <c r="B183" s="55"/>
      <c r="C183" s="307"/>
      <c r="D183" s="308"/>
      <c r="E183" s="308"/>
      <c r="F183" s="308"/>
      <c r="G183" s="308"/>
      <c r="H183" s="308"/>
      <c r="I183" s="308"/>
      <c r="J183" s="309"/>
      <c r="K183" s="309"/>
      <c r="L183" s="308"/>
      <c r="M183" s="308"/>
      <c r="N183" s="308"/>
      <c r="O183" s="309"/>
      <c r="P183" s="309"/>
      <c r="Q183" s="308"/>
      <c r="R183" s="309"/>
      <c r="S183" s="309"/>
      <c r="T183" s="309"/>
      <c r="U183" s="309"/>
      <c r="V183" s="315"/>
    </row>
    <row r="184" spans="1:22">
      <c r="A184" s="310"/>
      <c r="B184" s="311"/>
      <c r="C184" s="312"/>
      <c r="D184" s="313"/>
      <c r="E184" s="313"/>
      <c r="F184" s="313"/>
      <c r="G184" s="313"/>
      <c r="H184" s="313"/>
      <c r="I184" s="313"/>
      <c r="J184" s="314"/>
      <c r="K184" s="314"/>
      <c r="L184" s="313"/>
      <c r="M184" s="313"/>
      <c r="N184" s="313"/>
      <c r="O184" s="314"/>
      <c r="P184" s="314"/>
      <c r="Q184" s="313"/>
      <c r="R184" s="314"/>
      <c r="S184" s="314"/>
      <c r="T184" s="314"/>
      <c r="U184" s="314"/>
      <c r="V184" s="315"/>
    </row>
    <row r="185" spans="1:22" ht="15" thickBot="1">
      <c r="A185" s="326"/>
      <c r="B185" s="327"/>
      <c r="C185" s="328"/>
      <c r="D185" s="329"/>
      <c r="E185" s="329"/>
      <c r="F185" s="329"/>
      <c r="G185" s="329"/>
      <c r="H185" s="329"/>
      <c r="I185" s="329"/>
      <c r="J185" s="330"/>
      <c r="K185" s="330"/>
      <c r="L185" s="329"/>
      <c r="M185" s="329"/>
      <c r="N185" s="329"/>
      <c r="O185" s="330"/>
      <c r="P185" s="330"/>
      <c r="Q185" s="329"/>
      <c r="R185" s="330"/>
      <c r="S185" s="330"/>
      <c r="T185" s="330"/>
      <c r="U185" s="330"/>
      <c r="V185" s="315"/>
    </row>
    <row r="186" spans="1:22">
      <c r="A186" s="306"/>
      <c r="B186" s="55"/>
      <c r="C186" s="307"/>
      <c r="D186" s="308"/>
      <c r="E186" s="308"/>
      <c r="F186" s="308"/>
      <c r="G186" s="308"/>
      <c r="H186" s="308"/>
      <c r="I186" s="308"/>
      <c r="J186" s="309"/>
      <c r="K186" s="309"/>
      <c r="L186" s="308"/>
      <c r="M186" s="308"/>
      <c r="N186" s="308"/>
      <c r="O186" s="309"/>
      <c r="P186" s="309"/>
      <c r="Q186" s="308"/>
      <c r="R186" s="309"/>
      <c r="S186" s="309"/>
      <c r="T186" s="309"/>
      <c r="U186" s="309"/>
      <c r="V186" s="315"/>
    </row>
    <row r="187" spans="1:22">
      <c r="A187" s="310"/>
      <c r="B187" s="311"/>
      <c r="C187" s="312"/>
      <c r="D187" s="313"/>
      <c r="E187" s="313"/>
      <c r="F187" s="313"/>
      <c r="G187" s="313"/>
      <c r="H187" s="313"/>
      <c r="I187" s="313"/>
      <c r="J187" s="314"/>
      <c r="K187" s="314"/>
      <c r="L187" s="313"/>
      <c r="M187" s="313"/>
      <c r="N187" s="313"/>
      <c r="O187" s="314"/>
      <c r="P187" s="314"/>
      <c r="Q187" s="313"/>
      <c r="R187" s="314"/>
      <c r="S187" s="314"/>
      <c r="T187" s="314"/>
      <c r="U187" s="314"/>
      <c r="V187" s="315"/>
    </row>
    <row r="188" spans="1:22">
      <c r="A188" s="310"/>
      <c r="B188" s="316"/>
      <c r="C188" s="317"/>
      <c r="D188" s="318"/>
      <c r="E188" s="318"/>
      <c r="F188" s="318"/>
      <c r="G188" s="318"/>
      <c r="H188" s="318"/>
      <c r="I188" s="318"/>
      <c r="J188" s="320"/>
      <c r="K188" s="320"/>
      <c r="L188" s="318"/>
      <c r="M188" s="318"/>
      <c r="N188" s="318"/>
      <c r="O188" s="320"/>
      <c r="P188" s="320"/>
      <c r="Q188" s="318"/>
      <c r="R188" s="320"/>
      <c r="S188" s="320"/>
      <c r="T188" s="320"/>
      <c r="U188" s="320"/>
      <c r="V188" s="315"/>
    </row>
    <row r="189" spans="1:22">
      <c r="A189" s="310"/>
      <c r="B189" s="55"/>
      <c r="C189" s="307"/>
      <c r="D189" s="308"/>
      <c r="E189" s="308"/>
      <c r="F189" s="308"/>
      <c r="G189" s="308"/>
      <c r="H189" s="308"/>
      <c r="I189" s="308"/>
      <c r="J189" s="309"/>
      <c r="K189" s="309"/>
      <c r="L189" s="308"/>
      <c r="M189" s="308"/>
      <c r="N189" s="308"/>
      <c r="O189" s="309"/>
      <c r="P189" s="309"/>
      <c r="Q189" s="308"/>
      <c r="R189" s="309"/>
      <c r="S189" s="309"/>
      <c r="T189" s="309"/>
      <c r="U189" s="309"/>
      <c r="V189" s="315"/>
    </row>
    <row r="190" spans="1:22">
      <c r="A190" s="310"/>
      <c r="B190" s="311"/>
      <c r="C190" s="312"/>
      <c r="D190" s="313"/>
      <c r="E190" s="313"/>
      <c r="F190" s="313"/>
      <c r="G190" s="313"/>
      <c r="H190" s="313"/>
      <c r="I190" s="313"/>
      <c r="J190" s="314"/>
      <c r="K190" s="314"/>
      <c r="L190" s="313"/>
      <c r="M190" s="313"/>
      <c r="N190" s="313"/>
      <c r="O190" s="314"/>
      <c r="P190" s="314"/>
      <c r="Q190" s="313"/>
      <c r="R190" s="314"/>
      <c r="S190" s="314"/>
      <c r="T190" s="314"/>
      <c r="U190" s="314"/>
      <c r="V190" s="315"/>
    </row>
    <row r="191" spans="1:22">
      <c r="A191" s="310"/>
      <c r="B191" s="316"/>
      <c r="C191" s="317"/>
      <c r="D191" s="318"/>
      <c r="E191" s="318"/>
      <c r="F191" s="318"/>
      <c r="G191" s="318"/>
      <c r="H191" s="318"/>
      <c r="I191" s="318"/>
      <c r="J191" s="320"/>
      <c r="K191" s="320"/>
      <c r="L191" s="318"/>
      <c r="M191" s="318"/>
      <c r="N191" s="318"/>
      <c r="O191" s="320"/>
      <c r="P191" s="320"/>
      <c r="Q191" s="318"/>
      <c r="R191" s="320"/>
      <c r="S191" s="320"/>
      <c r="T191" s="320"/>
      <c r="U191" s="320"/>
      <c r="V191" s="315"/>
    </row>
    <row r="192" spans="1:22">
      <c r="A192" s="310"/>
      <c r="B192" s="55"/>
      <c r="C192" s="307"/>
      <c r="D192" s="308"/>
      <c r="E192" s="308"/>
      <c r="F192" s="308"/>
      <c r="G192" s="308"/>
      <c r="H192" s="308"/>
      <c r="I192" s="308"/>
      <c r="J192" s="309"/>
      <c r="K192" s="309"/>
      <c r="L192" s="308"/>
      <c r="M192" s="308"/>
      <c r="N192" s="308"/>
      <c r="O192" s="309"/>
      <c r="P192" s="309"/>
      <c r="Q192" s="308"/>
      <c r="R192" s="309"/>
      <c r="S192" s="309"/>
      <c r="T192" s="309"/>
      <c r="U192" s="309"/>
      <c r="V192" s="315"/>
    </row>
    <row r="193" spans="1:22">
      <c r="A193" s="310"/>
      <c r="B193" s="311"/>
      <c r="C193" s="312"/>
      <c r="D193" s="313"/>
      <c r="E193" s="313"/>
      <c r="F193" s="313"/>
      <c r="G193" s="313"/>
      <c r="H193" s="313"/>
      <c r="I193" s="313"/>
      <c r="J193" s="314"/>
      <c r="K193" s="314"/>
      <c r="L193" s="313"/>
      <c r="M193" s="313"/>
      <c r="N193" s="313"/>
      <c r="O193" s="314"/>
      <c r="P193" s="314"/>
      <c r="Q193" s="313"/>
      <c r="R193" s="314"/>
      <c r="S193" s="314"/>
      <c r="T193" s="314"/>
      <c r="U193" s="314"/>
      <c r="V193" s="315"/>
    </row>
    <row r="194" spans="1:22">
      <c r="A194" s="310"/>
      <c r="B194" s="316"/>
      <c r="C194" s="317"/>
      <c r="D194" s="318"/>
      <c r="E194" s="318"/>
      <c r="F194" s="318"/>
      <c r="G194" s="318"/>
      <c r="H194" s="318"/>
      <c r="I194" s="318"/>
      <c r="J194" s="320"/>
      <c r="K194" s="320"/>
      <c r="L194" s="318"/>
      <c r="M194" s="318"/>
      <c r="N194" s="318"/>
      <c r="O194" s="320"/>
      <c r="P194" s="320"/>
      <c r="Q194" s="318"/>
      <c r="R194" s="320"/>
      <c r="S194" s="320"/>
      <c r="T194" s="320"/>
      <c r="U194" s="320"/>
      <c r="V194" s="315"/>
    </row>
    <row r="195" spans="1:22">
      <c r="A195" s="310"/>
      <c r="B195" s="55"/>
      <c r="C195" s="307"/>
      <c r="D195" s="308"/>
      <c r="E195" s="308"/>
      <c r="F195" s="308"/>
      <c r="G195" s="308"/>
      <c r="H195" s="308"/>
      <c r="I195" s="308"/>
      <c r="J195" s="309"/>
      <c r="K195" s="309"/>
      <c r="L195" s="308"/>
      <c r="M195" s="308"/>
      <c r="N195" s="308"/>
      <c r="O195" s="309"/>
      <c r="P195" s="309"/>
      <c r="Q195" s="308"/>
      <c r="R195" s="309"/>
      <c r="S195" s="309"/>
      <c r="T195" s="309"/>
      <c r="U195" s="309"/>
      <c r="V195" s="315"/>
    </row>
    <row r="196" spans="1:22">
      <c r="A196" s="310"/>
      <c r="B196" s="311"/>
      <c r="C196" s="312"/>
      <c r="D196" s="313"/>
      <c r="E196" s="313"/>
      <c r="F196" s="313"/>
      <c r="G196" s="313"/>
      <c r="H196" s="313"/>
      <c r="I196" s="313"/>
      <c r="J196" s="314"/>
      <c r="K196" s="314"/>
      <c r="L196" s="313"/>
      <c r="M196" s="313"/>
      <c r="N196" s="313"/>
      <c r="O196" s="314"/>
      <c r="P196" s="314"/>
      <c r="Q196" s="313"/>
      <c r="R196" s="314"/>
      <c r="S196" s="314"/>
      <c r="T196" s="314"/>
      <c r="U196" s="314"/>
      <c r="V196" s="315"/>
    </row>
    <row r="197" spans="1:22">
      <c r="A197" s="310"/>
      <c r="B197" s="316"/>
      <c r="C197" s="317"/>
      <c r="D197" s="318"/>
      <c r="E197" s="318"/>
      <c r="F197" s="318"/>
      <c r="G197" s="318"/>
      <c r="H197" s="318"/>
      <c r="I197" s="318"/>
      <c r="J197" s="320"/>
      <c r="K197" s="320"/>
      <c r="L197" s="318"/>
      <c r="M197" s="318"/>
      <c r="N197" s="318"/>
      <c r="O197" s="320"/>
      <c r="P197" s="320"/>
      <c r="Q197" s="318"/>
      <c r="R197" s="320"/>
      <c r="S197" s="320"/>
      <c r="T197" s="320"/>
      <c r="U197" s="320"/>
      <c r="V197" s="315"/>
    </row>
    <row r="198" spans="1:22">
      <c r="A198" s="310"/>
      <c r="B198" s="55"/>
      <c r="C198" s="307"/>
      <c r="D198" s="308"/>
      <c r="E198" s="308"/>
      <c r="F198" s="308"/>
      <c r="G198" s="308"/>
      <c r="H198" s="308"/>
      <c r="I198" s="308"/>
      <c r="J198" s="309"/>
      <c r="K198" s="309"/>
      <c r="L198" s="308"/>
      <c r="M198" s="308"/>
      <c r="N198" s="308"/>
      <c r="O198" s="309"/>
      <c r="P198" s="309"/>
      <c r="Q198" s="308"/>
      <c r="R198" s="309"/>
      <c r="S198" s="309"/>
      <c r="T198" s="309"/>
      <c r="U198" s="309"/>
      <c r="V198" s="315"/>
    </row>
    <row r="199" spans="1:22">
      <c r="A199" s="310"/>
      <c r="B199" s="311"/>
      <c r="C199" s="312"/>
      <c r="D199" s="313"/>
      <c r="E199" s="313"/>
      <c r="F199" s="313"/>
      <c r="G199" s="313"/>
      <c r="H199" s="313"/>
      <c r="I199" s="313"/>
      <c r="J199" s="314"/>
      <c r="K199" s="314"/>
      <c r="L199" s="313"/>
      <c r="M199" s="313"/>
      <c r="N199" s="313"/>
      <c r="O199" s="314"/>
      <c r="P199" s="314"/>
      <c r="Q199" s="313"/>
      <c r="R199" s="314"/>
      <c r="S199" s="314"/>
      <c r="T199" s="314"/>
      <c r="U199" s="314"/>
      <c r="V199" s="315"/>
    </row>
    <row r="200" spans="1:22">
      <c r="A200" s="310"/>
      <c r="B200" s="316"/>
      <c r="C200" s="317"/>
      <c r="D200" s="318"/>
      <c r="E200" s="318"/>
      <c r="F200" s="318"/>
      <c r="G200" s="318"/>
      <c r="H200" s="318"/>
      <c r="I200" s="318"/>
      <c r="J200" s="320"/>
      <c r="K200" s="320"/>
      <c r="L200" s="318"/>
      <c r="M200" s="318"/>
      <c r="N200" s="318"/>
      <c r="O200" s="320"/>
      <c r="P200" s="320"/>
      <c r="Q200" s="318"/>
      <c r="R200" s="320"/>
      <c r="S200" s="320"/>
      <c r="T200" s="320"/>
      <c r="U200" s="320"/>
      <c r="V200" s="315"/>
    </row>
    <row r="201" spans="1:22">
      <c r="A201" s="310"/>
      <c r="B201" s="55"/>
      <c r="C201" s="307"/>
      <c r="D201" s="308"/>
      <c r="E201" s="308"/>
      <c r="F201" s="308"/>
      <c r="G201" s="308"/>
      <c r="H201" s="308"/>
      <c r="I201" s="308"/>
      <c r="J201" s="309"/>
      <c r="K201" s="309"/>
      <c r="L201" s="308"/>
      <c r="M201" s="308"/>
      <c r="N201" s="308"/>
      <c r="O201" s="309"/>
      <c r="P201" s="309"/>
      <c r="Q201" s="308"/>
      <c r="R201" s="309"/>
      <c r="S201" s="309"/>
      <c r="T201" s="309"/>
      <c r="U201" s="309"/>
      <c r="V201" s="315"/>
    </row>
    <row r="202" spans="1:22">
      <c r="A202" s="310"/>
      <c r="B202" s="311"/>
      <c r="C202" s="312"/>
      <c r="D202" s="313"/>
      <c r="E202" s="313"/>
      <c r="F202" s="313"/>
      <c r="G202" s="313"/>
      <c r="H202" s="313"/>
      <c r="I202" s="313"/>
      <c r="J202" s="314"/>
      <c r="K202" s="314"/>
      <c r="L202" s="313"/>
      <c r="M202" s="313"/>
      <c r="N202" s="313"/>
      <c r="O202" s="314"/>
      <c r="P202" s="314"/>
      <c r="Q202" s="313"/>
      <c r="R202" s="314"/>
      <c r="S202" s="314"/>
      <c r="T202" s="314"/>
      <c r="U202" s="314"/>
      <c r="V202" s="315"/>
    </row>
    <row r="203" spans="1:22" ht="15" thickBot="1">
      <c r="A203" s="310"/>
      <c r="B203" s="322"/>
      <c r="C203" s="323"/>
      <c r="D203" s="324"/>
      <c r="E203" s="324"/>
      <c r="F203" s="324"/>
      <c r="G203" s="324"/>
      <c r="H203" s="324"/>
      <c r="I203" s="324"/>
      <c r="J203" s="325"/>
      <c r="K203" s="325"/>
      <c r="L203" s="324"/>
      <c r="M203" s="324"/>
      <c r="N203" s="324"/>
      <c r="O203" s="325"/>
      <c r="P203" s="325"/>
      <c r="Q203" s="324"/>
      <c r="R203" s="325"/>
      <c r="S203" s="325"/>
      <c r="T203" s="325"/>
      <c r="U203" s="325"/>
      <c r="V203" s="315"/>
    </row>
    <row r="204" spans="1:22" ht="15" thickTop="1">
      <c r="A204" s="310"/>
      <c r="B204" s="311"/>
      <c r="C204" s="312"/>
      <c r="D204" s="313"/>
      <c r="E204" s="313"/>
      <c r="F204" s="313"/>
      <c r="G204" s="313"/>
      <c r="H204" s="313"/>
      <c r="I204" s="313"/>
      <c r="J204" s="314"/>
      <c r="K204" s="314"/>
      <c r="L204" s="313"/>
      <c r="M204" s="313"/>
      <c r="N204" s="313"/>
      <c r="O204" s="314"/>
      <c r="P204" s="314"/>
      <c r="Q204" s="313"/>
      <c r="R204" s="314"/>
      <c r="S204" s="314"/>
      <c r="T204" s="314"/>
      <c r="U204" s="314"/>
      <c r="V204" s="315"/>
    </row>
    <row r="205" spans="1:22">
      <c r="A205" s="310"/>
      <c r="B205" s="311"/>
      <c r="C205" s="312"/>
      <c r="D205" s="313"/>
      <c r="E205" s="313"/>
      <c r="F205" s="313"/>
      <c r="G205" s="313"/>
      <c r="H205" s="313"/>
      <c r="I205" s="313"/>
      <c r="J205" s="314"/>
      <c r="K205" s="314"/>
      <c r="L205" s="313"/>
      <c r="M205" s="313"/>
      <c r="N205" s="313"/>
      <c r="O205" s="314"/>
      <c r="P205" s="314"/>
      <c r="Q205" s="313"/>
      <c r="R205" s="314"/>
      <c r="S205" s="314"/>
      <c r="T205" s="314"/>
      <c r="U205" s="314"/>
      <c r="V205" s="315"/>
    </row>
    <row r="206" spans="1:22">
      <c r="A206" s="310"/>
      <c r="B206" s="316"/>
      <c r="C206" s="317"/>
      <c r="D206" s="318"/>
      <c r="E206" s="318"/>
      <c r="F206" s="318"/>
      <c r="G206" s="318"/>
      <c r="H206" s="318"/>
      <c r="I206" s="318"/>
      <c r="J206" s="320"/>
      <c r="K206" s="320"/>
      <c r="L206" s="318"/>
      <c r="M206" s="318"/>
      <c r="N206" s="318"/>
      <c r="O206" s="320"/>
      <c r="P206" s="320"/>
      <c r="Q206" s="318"/>
      <c r="R206" s="320"/>
      <c r="S206" s="320"/>
      <c r="T206" s="320"/>
      <c r="U206" s="320"/>
      <c r="V206" s="315"/>
    </row>
    <row r="207" spans="1:22">
      <c r="A207" s="310"/>
      <c r="B207" s="55"/>
      <c r="C207" s="307"/>
      <c r="D207" s="308"/>
      <c r="E207" s="308"/>
      <c r="F207" s="308"/>
      <c r="G207" s="308"/>
      <c r="H207" s="308"/>
      <c r="I207" s="308"/>
      <c r="J207" s="309"/>
      <c r="K207" s="309"/>
      <c r="L207" s="308"/>
      <c r="M207" s="308"/>
      <c r="N207" s="308"/>
      <c r="O207" s="309"/>
      <c r="P207" s="309"/>
      <c r="Q207" s="308"/>
      <c r="R207" s="309"/>
      <c r="S207" s="309"/>
      <c r="T207" s="309"/>
      <c r="U207" s="309"/>
      <c r="V207" s="315"/>
    </row>
    <row r="208" spans="1:22">
      <c r="A208" s="310"/>
      <c r="B208" s="311"/>
      <c r="C208" s="312"/>
      <c r="D208" s="313"/>
      <c r="E208" s="313"/>
      <c r="F208" s="313"/>
      <c r="G208" s="313"/>
      <c r="H208" s="313"/>
      <c r="I208" s="313"/>
      <c r="J208" s="314"/>
      <c r="K208" s="314"/>
      <c r="L208" s="313"/>
      <c r="M208" s="313"/>
      <c r="N208" s="313"/>
      <c r="O208" s="314"/>
      <c r="P208" s="314"/>
      <c r="Q208" s="313"/>
      <c r="R208" s="314"/>
      <c r="S208" s="314"/>
      <c r="T208" s="314"/>
      <c r="U208" s="314"/>
      <c r="V208" s="315"/>
    </row>
    <row r="209" spans="1:22">
      <c r="A209" s="310"/>
      <c r="B209" s="316"/>
      <c r="C209" s="317"/>
      <c r="D209" s="318"/>
      <c r="E209" s="318"/>
      <c r="F209" s="318"/>
      <c r="G209" s="318"/>
      <c r="H209" s="318"/>
      <c r="I209" s="318"/>
      <c r="J209" s="320"/>
      <c r="K209" s="320"/>
      <c r="L209" s="318"/>
      <c r="M209" s="318"/>
      <c r="N209" s="318"/>
      <c r="O209" s="320"/>
      <c r="P209" s="320"/>
      <c r="Q209" s="318"/>
      <c r="R209" s="320"/>
      <c r="S209" s="320"/>
      <c r="T209" s="320"/>
      <c r="U209" s="320"/>
      <c r="V209" s="315"/>
    </row>
    <row r="210" spans="1:22">
      <c r="A210" s="310"/>
      <c r="B210" s="55"/>
      <c r="C210" s="307"/>
      <c r="D210" s="308"/>
      <c r="E210" s="308"/>
      <c r="F210" s="308"/>
      <c r="G210" s="308"/>
      <c r="H210" s="308"/>
      <c r="I210" s="308"/>
      <c r="J210" s="309"/>
      <c r="K210" s="309"/>
      <c r="L210" s="308"/>
      <c r="M210" s="308"/>
      <c r="N210" s="308"/>
      <c r="O210" s="309"/>
      <c r="P210" s="309"/>
      <c r="Q210" s="308"/>
      <c r="R210" s="309"/>
      <c r="S210" s="309"/>
      <c r="T210" s="309"/>
      <c r="U210" s="309"/>
      <c r="V210" s="315"/>
    </row>
    <row r="211" spans="1:22">
      <c r="A211" s="310"/>
      <c r="B211" s="311"/>
      <c r="C211" s="312"/>
      <c r="D211" s="313"/>
      <c r="E211" s="313"/>
      <c r="F211" s="313"/>
      <c r="G211" s="313"/>
      <c r="H211" s="313"/>
      <c r="I211" s="313"/>
      <c r="J211" s="314"/>
      <c r="K211" s="314"/>
      <c r="L211" s="313"/>
      <c r="M211" s="313"/>
      <c r="N211" s="313"/>
      <c r="O211" s="314"/>
      <c r="P211" s="314"/>
      <c r="Q211" s="313"/>
      <c r="R211" s="314"/>
      <c r="S211" s="314"/>
      <c r="T211" s="314"/>
      <c r="U211" s="314"/>
      <c r="V211" s="315"/>
    </row>
    <row r="212" spans="1:22">
      <c r="A212" s="310"/>
      <c r="B212" s="316"/>
      <c r="C212" s="317"/>
      <c r="D212" s="318"/>
      <c r="E212" s="318"/>
      <c r="F212" s="318"/>
      <c r="G212" s="318"/>
      <c r="H212" s="318"/>
      <c r="I212" s="318"/>
      <c r="J212" s="320"/>
      <c r="K212" s="320"/>
      <c r="L212" s="318"/>
      <c r="M212" s="318"/>
      <c r="N212" s="318"/>
      <c r="O212" s="320"/>
      <c r="P212" s="320"/>
      <c r="Q212" s="318"/>
      <c r="R212" s="320"/>
      <c r="S212" s="320"/>
      <c r="T212" s="320"/>
      <c r="U212" s="320"/>
      <c r="V212" s="315"/>
    </row>
    <row r="213" spans="1:22">
      <c r="A213" s="310"/>
      <c r="B213" s="55"/>
      <c r="C213" s="307"/>
      <c r="D213" s="308"/>
      <c r="E213" s="308"/>
      <c r="F213" s="308"/>
      <c r="G213" s="308"/>
      <c r="H213" s="308"/>
      <c r="I213" s="308"/>
      <c r="J213" s="309"/>
      <c r="K213" s="309"/>
      <c r="L213" s="308"/>
      <c r="M213" s="308"/>
      <c r="N213" s="308"/>
      <c r="O213" s="309"/>
      <c r="P213" s="309"/>
      <c r="Q213" s="308"/>
      <c r="R213" s="309"/>
      <c r="S213" s="309"/>
      <c r="T213" s="309"/>
      <c r="U213" s="309"/>
      <c r="V213" s="315"/>
    </row>
    <row r="214" spans="1:22">
      <c r="A214" s="310"/>
      <c r="B214" s="311"/>
      <c r="C214" s="312"/>
      <c r="D214" s="313"/>
      <c r="E214" s="313"/>
      <c r="F214" s="313"/>
      <c r="G214" s="313"/>
      <c r="H214" s="313"/>
      <c r="I214" s="313"/>
      <c r="J214" s="314"/>
      <c r="K214" s="314"/>
      <c r="L214" s="313"/>
      <c r="M214" s="313"/>
      <c r="N214" s="313"/>
      <c r="O214" s="314"/>
      <c r="P214" s="314"/>
      <c r="Q214" s="313"/>
      <c r="R214" s="314"/>
      <c r="S214" s="314"/>
      <c r="T214" s="314"/>
      <c r="U214" s="314"/>
      <c r="V214" s="315"/>
    </row>
    <row r="215" spans="1:22">
      <c r="A215" s="310"/>
      <c r="B215" s="316"/>
      <c r="C215" s="317"/>
      <c r="D215" s="318"/>
      <c r="E215" s="318"/>
      <c r="F215" s="318"/>
      <c r="G215" s="318"/>
      <c r="H215" s="318"/>
      <c r="I215" s="318"/>
      <c r="J215" s="320"/>
      <c r="K215" s="320"/>
      <c r="L215" s="318"/>
      <c r="M215" s="318"/>
      <c r="N215" s="318"/>
      <c r="O215" s="320"/>
      <c r="P215" s="320"/>
      <c r="Q215" s="318"/>
      <c r="R215" s="320"/>
      <c r="S215" s="320"/>
      <c r="T215" s="320"/>
      <c r="U215" s="320"/>
      <c r="V215" s="315"/>
    </row>
    <row r="216" spans="1:22">
      <c r="A216" s="310"/>
      <c r="B216" s="55"/>
      <c r="C216" s="307"/>
      <c r="D216" s="308"/>
      <c r="E216" s="308"/>
      <c r="F216" s="308"/>
      <c r="G216" s="308"/>
      <c r="H216" s="308"/>
      <c r="I216" s="308"/>
      <c r="J216" s="309"/>
      <c r="K216" s="309"/>
      <c r="L216" s="308"/>
      <c r="M216" s="308"/>
      <c r="N216" s="308"/>
      <c r="O216" s="309"/>
      <c r="P216" s="309"/>
      <c r="Q216" s="308"/>
      <c r="R216" s="309"/>
      <c r="S216" s="309"/>
      <c r="T216" s="309"/>
      <c r="U216" s="309"/>
      <c r="V216" s="315"/>
    </row>
    <row r="217" spans="1:22">
      <c r="A217" s="310"/>
      <c r="B217" s="311"/>
      <c r="C217" s="312"/>
      <c r="D217" s="313"/>
      <c r="E217" s="313"/>
      <c r="F217" s="313"/>
      <c r="G217" s="313"/>
      <c r="H217" s="313"/>
      <c r="I217" s="313"/>
      <c r="J217" s="314"/>
      <c r="K217" s="314"/>
      <c r="L217" s="313"/>
      <c r="M217" s="313"/>
      <c r="N217" s="313"/>
      <c r="O217" s="314"/>
      <c r="P217" s="314"/>
      <c r="Q217" s="313"/>
      <c r="R217" s="314"/>
      <c r="S217" s="314"/>
      <c r="T217" s="314"/>
      <c r="U217" s="314"/>
      <c r="V217" s="315"/>
    </row>
    <row r="218" spans="1:22">
      <c r="A218" s="310"/>
      <c r="B218" s="316"/>
      <c r="C218" s="317"/>
      <c r="D218" s="318"/>
      <c r="E218" s="318"/>
      <c r="F218" s="318"/>
      <c r="G218" s="318"/>
      <c r="H218" s="318"/>
      <c r="I218" s="318"/>
      <c r="J218" s="320"/>
      <c r="K218" s="320"/>
      <c r="L218" s="318"/>
      <c r="M218" s="318"/>
      <c r="N218" s="318"/>
      <c r="O218" s="320"/>
      <c r="P218" s="320"/>
      <c r="Q218" s="318"/>
      <c r="R218" s="320"/>
      <c r="S218" s="320"/>
      <c r="T218" s="320"/>
      <c r="U218" s="320"/>
      <c r="V218" s="315"/>
    </row>
    <row r="219" spans="1:22">
      <c r="A219" s="310"/>
      <c r="B219" s="55"/>
      <c r="C219" s="307"/>
      <c r="D219" s="308"/>
      <c r="E219" s="308"/>
      <c r="F219" s="308"/>
      <c r="G219" s="308"/>
      <c r="H219" s="308"/>
      <c r="I219" s="308"/>
      <c r="J219" s="309"/>
      <c r="K219" s="309"/>
      <c r="L219" s="308"/>
      <c r="M219" s="308"/>
      <c r="N219" s="308"/>
      <c r="O219" s="309"/>
      <c r="P219" s="309"/>
      <c r="Q219" s="308"/>
      <c r="R219" s="309"/>
      <c r="S219" s="309"/>
      <c r="T219" s="309"/>
      <c r="U219" s="309"/>
      <c r="V219" s="315"/>
    </row>
    <row r="220" spans="1:22">
      <c r="A220" s="310"/>
      <c r="B220" s="311"/>
      <c r="C220" s="312"/>
      <c r="D220" s="313"/>
      <c r="E220" s="313"/>
      <c r="F220" s="313"/>
      <c r="G220" s="313"/>
      <c r="H220" s="313"/>
      <c r="I220" s="313"/>
      <c r="J220" s="314"/>
      <c r="K220" s="314"/>
      <c r="L220" s="313"/>
      <c r="M220" s="313"/>
      <c r="N220" s="313"/>
      <c r="O220" s="314"/>
      <c r="P220" s="314"/>
      <c r="Q220" s="313"/>
      <c r="R220" s="314"/>
      <c r="S220" s="314"/>
      <c r="T220" s="314"/>
      <c r="U220" s="314"/>
      <c r="V220" s="315"/>
    </row>
    <row r="221" spans="1:22" ht="15" thickBot="1">
      <c r="A221" s="326"/>
      <c r="B221" s="327"/>
      <c r="C221" s="328"/>
      <c r="D221" s="329"/>
      <c r="E221" s="329"/>
      <c r="F221" s="329"/>
      <c r="G221" s="329"/>
      <c r="H221" s="329"/>
      <c r="I221" s="329"/>
      <c r="J221" s="330"/>
      <c r="K221" s="330"/>
      <c r="L221" s="329"/>
      <c r="M221" s="329"/>
      <c r="N221" s="329"/>
      <c r="O221" s="330"/>
      <c r="P221" s="330"/>
      <c r="Q221" s="329"/>
      <c r="R221" s="330"/>
      <c r="S221" s="330"/>
      <c r="T221" s="330"/>
      <c r="U221" s="330"/>
      <c r="V221" s="315"/>
    </row>
    <row r="222" spans="1:22">
      <c r="A222" s="306"/>
      <c r="B222" s="55"/>
      <c r="C222" s="307"/>
      <c r="D222" s="308"/>
      <c r="E222" s="308"/>
      <c r="F222" s="308"/>
      <c r="G222" s="308"/>
      <c r="H222" s="308"/>
      <c r="I222" s="308"/>
      <c r="J222" s="309"/>
      <c r="K222" s="309"/>
      <c r="L222" s="308"/>
      <c r="M222" s="308"/>
      <c r="N222" s="308"/>
      <c r="O222" s="309"/>
      <c r="P222" s="309"/>
      <c r="Q222" s="308"/>
      <c r="R222" s="309"/>
      <c r="S222" s="309"/>
      <c r="T222" s="309"/>
      <c r="U222" s="309"/>
      <c r="V222" s="315"/>
    </row>
    <row r="223" spans="1:22">
      <c r="A223" s="310"/>
      <c r="B223" s="311"/>
      <c r="C223" s="312"/>
      <c r="D223" s="313"/>
      <c r="E223" s="313"/>
      <c r="F223" s="313"/>
      <c r="G223" s="313"/>
      <c r="H223" s="313"/>
      <c r="I223" s="313"/>
      <c r="J223" s="314"/>
      <c r="K223" s="314"/>
      <c r="L223" s="313"/>
      <c r="M223" s="313"/>
      <c r="N223" s="313"/>
      <c r="O223" s="314"/>
      <c r="P223" s="314"/>
      <c r="Q223" s="313"/>
      <c r="R223" s="314"/>
      <c r="S223" s="314"/>
      <c r="T223" s="314"/>
      <c r="U223" s="314"/>
      <c r="V223" s="315"/>
    </row>
    <row r="224" spans="1:22">
      <c r="A224" s="310"/>
      <c r="B224" s="316"/>
      <c r="C224" s="317"/>
      <c r="D224" s="318"/>
      <c r="E224" s="318"/>
      <c r="F224" s="318"/>
      <c r="G224" s="318"/>
      <c r="H224" s="318"/>
      <c r="I224" s="318"/>
      <c r="J224" s="320"/>
      <c r="K224" s="320"/>
      <c r="L224" s="318"/>
      <c r="M224" s="318"/>
      <c r="N224" s="318"/>
      <c r="O224" s="320"/>
      <c r="P224" s="320"/>
      <c r="Q224" s="318"/>
      <c r="R224" s="320"/>
      <c r="S224" s="320"/>
      <c r="T224" s="320"/>
      <c r="U224" s="320"/>
      <c r="V224" s="315"/>
    </row>
    <row r="225" spans="1:22">
      <c r="A225" s="310"/>
      <c r="B225" s="55"/>
      <c r="C225" s="307"/>
      <c r="D225" s="308"/>
      <c r="E225" s="308"/>
      <c r="F225" s="308"/>
      <c r="G225" s="308"/>
      <c r="H225" s="308"/>
      <c r="I225" s="308"/>
      <c r="J225" s="309"/>
      <c r="K225" s="309"/>
      <c r="L225" s="308"/>
      <c r="M225" s="308"/>
      <c r="N225" s="308"/>
      <c r="O225" s="309"/>
      <c r="P225" s="309"/>
      <c r="Q225" s="308"/>
      <c r="R225" s="309"/>
      <c r="S225" s="309"/>
      <c r="T225" s="309"/>
      <c r="U225" s="309"/>
      <c r="V225" s="315"/>
    </row>
    <row r="226" spans="1:22">
      <c r="A226" s="310"/>
      <c r="B226" s="311"/>
      <c r="C226" s="312"/>
      <c r="D226" s="313"/>
      <c r="E226" s="313"/>
      <c r="F226" s="313"/>
      <c r="G226" s="313"/>
      <c r="H226" s="313"/>
      <c r="I226" s="313"/>
      <c r="J226" s="314"/>
      <c r="K226" s="314"/>
      <c r="L226" s="313"/>
      <c r="M226" s="313"/>
      <c r="N226" s="313"/>
      <c r="O226" s="314"/>
      <c r="P226" s="314"/>
      <c r="Q226" s="313"/>
      <c r="R226" s="314"/>
      <c r="S226" s="314"/>
      <c r="T226" s="314"/>
      <c r="U226" s="314"/>
      <c r="V226" s="315"/>
    </row>
    <row r="227" spans="1:22">
      <c r="A227" s="310"/>
      <c r="B227" s="316"/>
      <c r="C227" s="317"/>
      <c r="D227" s="318"/>
      <c r="E227" s="318"/>
      <c r="F227" s="318"/>
      <c r="G227" s="318"/>
      <c r="H227" s="318"/>
      <c r="I227" s="318"/>
      <c r="J227" s="320"/>
      <c r="K227" s="320"/>
      <c r="L227" s="318"/>
      <c r="M227" s="318"/>
      <c r="N227" s="318"/>
      <c r="O227" s="320"/>
      <c r="P227" s="320"/>
      <c r="Q227" s="318"/>
      <c r="R227" s="320"/>
      <c r="S227" s="320"/>
      <c r="T227" s="320"/>
      <c r="U227" s="320"/>
      <c r="V227" s="315"/>
    </row>
    <row r="228" spans="1:22">
      <c r="A228" s="310"/>
      <c r="B228" s="55"/>
      <c r="C228" s="307"/>
      <c r="D228" s="308"/>
      <c r="E228" s="308"/>
      <c r="F228" s="308"/>
      <c r="G228" s="308"/>
      <c r="H228" s="308"/>
      <c r="I228" s="308"/>
      <c r="J228" s="309"/>
      <c r="K228" s="309"/>
      <c r="L228" s="308"/>
      <c r="M228" s="308"/>
      <c r="N228" s="308"/>
      <c r="O228" s="309"/>
      <c r="P228" s="309"/>
      <c r="Q228" s="308"/>
      <c r="R228" s="309"/>
      <c r="S228" s="309"/>
      <c r="T228" s="309"/>
      <c r="U228" s="309"/>
      <c r="V228" s="315"/>
    </row>
    <row r="229" spans="1:22">
      <c r="A229" s="310"/>
      <c r="B229" s="311"/>
      <c r="C229" s="312"/>
      <c r="D229" s="313"/>
      <c r="E229" s="313"/>
      <c r="F229" s="313"/>
      <c r="G229" s="313"/>
      <c r="H229" s="313"/>
      <c r="I229" s="313"/>
      <c r="J229" s="314"/>
      <c r="K229" s="314"/>
      <c r="L229" s="313"/>
      <c r="M229" s="313"/>
      <c r="N229" s="313"/>
      <c r="O229" s="314"/>
      <c r="P229" s="314"/>
      <c r="Q229" s="313"/>
      <c r="R229" s="314"/>
      <c r="S229" s="314"/>
      <c r="T229" s="314"/>
      <c r="U229" s="314"/>
      <c r="V229" s="315"/>
    </row>
    <row r="230" spans="1:22">
      <c r="A230" s="310"/>
      <c r="B230" s="316"/>
      <c r="C230" s="317"/>
      <c r="D230" s="318"/>
      <c r="E230" s="318"/>
      <c r="F230" s="318"/>
      <c r="G230" s="318"/>
      <c r="H230" s="318"/>
      <c r="I230" s="318"/>
      <c r="J230" s="320"/>
      <c r="K230" s="320"/>
      <c r="L230" s="318"/>
      <c r="M230" s="318"/>
      <c r="N230" s="318"/>
      <c r="O230" s="320"/>
      <c r="P230" s="320"/>
      <c r="Q230" s="318"/>
      <c r="R230" s="320"/>
      <c r="S230" s="320"/>
      <c r="T230" s="320"/>
      <c r="U230" s="320"/>
      <c r="V230" s="315"/>
    </row>
    <row r="231" spans="1:22">
      <c r="A231" s="310"/>
      <c r="B231" s="55"/>
      <c r="C231" s="307"/>
      <c r="D231" s="308"/>
      <c r="E231" s="308"/>
      <c r="F231" s="308"/>
      <c r="G231" s="308"/>
      <c r="H231" s="308"/>
      <c r="I231" s="308"/>
      <c r="J231" s="309"/>
      <c r="K231" s="309"/>
      <c r="L231" s="308"/>
      <c r="M231" s="308"/>
      <c r="N231" s="308"/>
      <c r="O231" s="309"/>
      <c r="P231" s="309"/>
      <c r="Q231" s="308"/>
      <c r="R231" s="309"/>
      <c r="S231" s="309"/>
      <c r="T231" s="309"/>
      <c r="U231" s="309"/>
      <c r="V231" s="315"/>
    </row>
    <row r="232" spans="1:22">
      <c r="A232" s="310"/>
      <c r="B232" s="311"/>
      <c r="C232" s="312"/>
      <c r="D232" s="313"/>
      <c r="E232" s="313"/>
      <c r="F232" s="313"/>
      <c r="G232" s="313"/>
      <c r="H232" s="313"/>
      <c r="I232" s="313"/>
      <c r="J232" s="314"/>
      <c r="K232" s="314"/>
      <c r="L232" s="313"/>
      <c r="M232" s="313"/>
      <c r="N232" s="313"/>
      <c r="O232" s="314"/>
      <c r="P232" s="314"/>
      <c r="Q232" s="313"/>
      <c r="R232" s="314"/>
      <c r="S232" s="314"/>
      <c r="T232" s="314"/>
      <c r="U232" s="314"/>
      <c r="V232" s="315"/>
    </row>
    <row r="233" spans="1:22">
      <c r="A233" s="310"/>
      <c r="B233" s="316"/>
      <c r="C233" s="317"/>
      <c r="D233" s="318"/>
      <c r="E233" s="318"/>
      <c r="F233" s="318"/>
      <c r="G233" s="318"/>
      <c r="H233" s="318"/>
      <c r="I233" s="318"/>
      <c r="J233" s="320"/>
      <c r="K233" s="320"/>
      <c r="L233" s="318"/>
      <c r="M233" s="318"/>
      <c r="N233" s="318"/>
      <c r="O233" s="320"/>
      <c r="P233" s="320"/>
      <c r="Q233" s="318"/>
      <c r="R233" s="320"/>
      <c r="S233" s="320"/>
      <c r="T233" s="320"/>
      <c r="U233" s="320"/>
      <c r="V233" s="315"/>
    </row>
    <row r="234" spans="1:22">
      <c r="A234" s="310"/>
      <c r="B234" s="55"/>
      <c r="C234" s="307"/>
      <c r="D234" s="308"/>
      <c r="E234" s="308"/>
      <c r="F234" s="308"/>
      <c r="G234" s="308"/>
      <c r="H234" s="308"/>
      <c r="I234" s="308"/>
      <c r="J234" s="309"/>
      <c r="K234" s="309"/>
      <c r="L234" s="308"/>
      <c r="M234" s="308"/>
      <c r="N234" s="308"/>
      <c r="O234" s="309"/>
      <c r="P234" s="309"/>
      <c r="Q234" s="308"/>
      <c r="R234" s="309"/>
      <c r="S234" s="309"/>
      <c r="T234" s="309"/>
      <c r="U234" s="309"/>
      <c r="V234" s="315"/>
    </row>
    <row r="235" spans="1:22">
      <c r="A235" s="310"/>
      <c r="B235" s="311"/>
      <c r="C235" s="312"/>
      <c r="D235" s="313"/>
      <c r="E235" s="313"/>
      <c r="F235" s="313"/>
      <c r="G235" s="313"/>
      <c r="H235" s="313"/>
      <c r="I235" s="313"/>
      <c r="J235" s="314"/>
      <c r="K235" s="314"/>
      <c r="L235" s="313"/>
      <c r="M235" s="313"/>
      <c r="N235" s="313"/>
      <c r="O235" s="314"/>
      <c r="P235" s="314"/>
      <c r="Q235" s="313"/>
      <c r="R235" s="314"/>
      <c r="S235" s="314"/>
      <c r="T235" s="314"/>
      <c r="U235" s="314"/>
      <c r="V235" s="315"/>
    </row>
    <row r="236" spans="1:22">
      <c r="A236" s="310"/>
      <c r="B236" s="316"/>
      <c r="C236" s="317"/>
      <c r="D236" s="318"/>
      <c r="E236" s="318"/>
      <c r="F236" s="318"/>
      <c r="G236" s="318"/>
      <c r="H236" s="318"/>
      <c r="I236" s="318"/>
      <c r="J236" s="320"/>
      <c r="K236" s="320"/>
      <c r="L236" s="318"/>
      <c r="M236" s="318"/>
      <c r="N236" s="318"/>
      <c r="O236" s="320"/>
      <c r="P236" s="320"/>
      <c r="Q236" s="318"/>
      <c r="R236" s="320"/>
      <c r="S236" s="320"/>
      <c r="T236" s="320"/>
      <c r="U236" s="320"/>
      <c r="V236" s="315"/>
    </row>
    <row r="237" spans="1:22">
      <c r="A237" s="310"/>
      <c r="B237" s="55"/>
      <c r="C237" s="307"/>
      <c r="D237" s="308"/>
      <c r="E237" s="308"/>
      <c r="F237" s="308"/>
      <c r="G237" s="308"/>
      <c r="H237" s="308"/>
      <c r="I237" s="308"/>
      <c r="J237" s="309"/>
      <c r="K237" s="309"/>
      <c r="L237" s="308"/>
      <c r="M237" s="308"/>
      <c r="N237" s="308"/>
      <c r="O237" s="309"/>
      <c r="P237" s="309"/>
      <c r="Q237" s="308"/>
      <c r="R237" s="309"/>
      <c r="S237" s="309"/>
      <c r="T237" s="309"/>
      <c r="U237" s="309"/>
      <c r="V237" s="315"/>
    </row>
    <row r="238" spans="1:22">
      <c r="A238" s="310"/>
      <c r="B238" s="311"/>
      <c r="C238" s="312"/>
      <c r="D238" s="313"/>
      <c r="E238" s="313"/>
      <c r="F238" s="313"/>
      <c r="G238" s="313"/>
      <c r="H238" s="313"/>
      <c r="I238" s="313"/>
      <c r="J238" s="314"/>
      <c r="K238" s="314"/>
      <c r="L238" s="313"/>
      <c r="M238" s="313"/>
      <c r="N238" s="313"/>
      <c r="O238" s="314"/>
      <c r="P238" s="314"/>
      <c r="Q238" s="313"/>
      <c r="R238" s="314"/>
      <c r="S238" s="314"/>
      <c r="T238" s="314"/>
      <c r="U238" s="314"/>
      <c r="V238" s="315"/>
    </row>
    <row r="239" spans="1:22" ht="15" thickBot="1">
      <c r="A239" s="310"/>
      <c r="B239" s="322"/>
      <c r="C239" s="323"/>
      <c r="D239" s="324"/>
      <c r="E239" s="324"/>
      <c r="F239" s="324"/>
      <c r="G239" s="324"/>
      <c r="H239" s="324"/>
      <c r="I239" s="324"/>
      <c r="J239" s="325"/>
      <c r="K239" s="325"/>
      <c r="L239" s="324"/>
      <c r="M239" s="324"/>
      <c r="N239" s="324"/>
      <c r="O239" s="325"/>
      <c r="P239" s="325"/>
      <c r="Q239" s="324"/>
      <c r="R239" s="325"/>
      <c r="S239" s="325"/>
      <c r="T239" s="325"/>
      <c r="U239" s="325"/>
      <c r="V239" s="315"/>
    </row>
    <row r="240" spans="1:22" ht="15" thickTop="1">
      <c r="A240" s="310"/>
      <c r="B240" s="311"/>
      <c r="C240" s="312"/>
      <c r="D240" s="313"/>
      <c r="E240" s="313"/>
      <c r="F240" s="313"/>
      <c r="G240" s="313"/>
      <c r="H240" s="313"/>
      <c r="I240" s="313"/>
      <c r="J240" s="314"/>
      <c r="K240" s="314"/>
      <c r="L240" s="313"/>
      <c r="M240" s="313"/>
      <c r="N240" s="313"/>
      <c r="O240" s="314"/>
      <c r="P240" s="314"/>
      <c r="Q240" s="313"/>
      <c r="R240" s="314"/>
      <c r="S240" s="314"/>
      <c r="T240" s="314"/>
      <c r="U240" s="314"/>
      <c r="V240" s="315"/>
    </row>
    <row r="241" spans="1:22">
      <c r="A241" s="310"/>
      <c r="B241" s="311"/>
      <c r="C241" s="312"/>
      <c r="D241" s="313"/>
      <c r="E241" s="313"/>
      <c r="F241" s="313"/>
      <c r="G241" s="313"/>
      <c r="H241" s="313"/>
      <c r="I241" s="313"/>
      <c r="J241" s="314"/>
      <c r="K241" s="314"/>
      <c r="L241" s="313"/>
      <c r="M241" s="313"/>
      <c r="N241" s="313"/>
      <c r="O241" s="314"/>
      <c r="P241" s="314"/>
      <c r="Q241" s="313"/>
      <c r="R241" s="314"/>
      <c r="S241" s="314"/>
      <c r="T241" s="314"/>
      <c r="U241" s="314"/>
      <c r="V241" s="315"/>
    </row>
    <row r="242" spans="1:22">
      <c r="A242" s="310"/>
      <c r="B242" s="316"/>
      <c r="C242" s="317"/>
      <c r="D242" s="318"/>
      <c r="E242" s="318"/>
      <c r="F242" s="318"/>
      <c r="G242" s="318"/>
      <c r="H242" s="318"/>
      <c r="I242" s="318"/>
      <c r="J242" s="320"/>
      <c r="K242" s="320"/>
      <c r="L242" s="318"/>
      <c r="M242" s="318"/>
      <c r="N242" s="318"/>
      <c r="O242" s="320"/>
      <c r="P242" s="320"/>
      <c r="Q242" s="318"/>
      <c r="R242" s="320"/>
      <c r="S242" s="320"/>
      <c r="T242" s="320"/>
      <c r="U242" s="320"/>
      <c r="V242" s="315"/>
    </row>
    <row r="243" spans="1:22">
      <c r="A243" s="310"/>
      <c r="B243" s="55"/>
      <c r="C243" s="307"/>
      <c r="D243" s="308"/>
      <c r="E243" s="308"/>
      <c r="F243" s="308"/>
      <c r="G243" s="308"/>
      <c r="H243" s="308"/>
      <c r="I243" s="308"/>
      <c r="J243" s="309"/>
      <c r="K243" s="309"/>
      <c r="L243" s="308"/>
      <c r="M243" s="308"/>
      <c r="N243" s="308"/>
      <c r="O243" s="309"/>
      <c r="P243" s="309"/>
      <c r="Q243" s="308"/>
      <c r="R243" s="309"/>
      <c r="S243" s="309"/>
      <c r="T243" s="309"/>
      <c r="U243" s="309"/>
      <c r="V243" s="315"/>
    </row>
    <row r="244" spans="1:22">
      <c r="A244" s="310"/>
      <c r="B244" s="311"/>
      <c r="C244" s="312"/>
      <c r="D244" s="313"/>
      <c r="E244" s="313"/>
      <c r="F244" s="313"/>
      <c r="G244" s="313"/>
      <c r="H244" s="313"/>
      <c r="I244" s="313"/>
      <c r="J244" s="314"/>
      <c r="K244" s="314"/>
      <c r="L244" s="313"/>
      <c r="M244" s="313"/>
      <c r="N244" s="313"/>
      <c r="O244" s="314"/>
      <c r="P244" s="314"/>
      <c r="Q244" s="313"/>
      <c r="R244" s="314"/>
      <c r="S244" s="314"/>
      <c r="T244" s="314"/>
      <c r="U244" s="314"/>
      <c r="V244" s="315"/>
    </row>
    <row r="245" spans="1:22">
      <c r="A245" s="310"/>
      <c r="B245" s="316"/>
      <c r="C245" s="317"/>
      <c r="D245" s="318"/>
      <c r="E245" s="318"/>
      <c r="F245" s="318"/>
      <c r="G245" s="318"/>
      <c r="H245" s="318"/>
      <c r="I245" s="318"/>
      <c r="J245" s="320"/>
      <c r="K245" s="320"/>
      <c r="L245" s="318"/>
      <c r="M245" s="318"/>
      <c r="N245" s="318"/>
      <c r="O245" s="320"/>
      <c r="P245" s="320"/>
      <c r="Q245" s="318"/>
      <c r="R245" s="320"/>
      <c r="S245" s="320"/>
      <c r="T245" s="320"/>
      <c r="U245" s="320"/>
      <c r="V245" s="315"/>
    </row>
    <row r="246" spans="1:22">
      <c r="A246" s="310"/>
      <c r="B246" s="55"/>
      <c r="C246" s="307"/>
      <c r="D246" s="308"/>
      <c r="E246" s="308"/>
      <c r="F246" s="308"/>
      <c r="G246" s="308"/>
      <c r="H246" s="308"/>
      <c r="I246" s="308"/>
      <c r="J246" s="309"/>
      <c r="K246" s="309"/>
      <c r="L246" s="308"/>
      <c r="M246" s="308"/>
      <c r="N246" s="308"/>
      <c r="O246" s="309"/>
      <c r="P246" s="309"/>
      <c r="Q246" s="308"/>
      <c r="R246" s="309"/>
      <c r="S246" s="309"/>
      <c r="T246" s="309"/>
      <c r="U246" s="309"/>
      <c r="V246" s="315"/>
    </row>
    <row r="247" spans="1:22">
      <c r="A247" s="310"/>
      <c r="B247" s="311"/>
      <c r="C247" s="312"/>
      <c r="D247" s="313"/>
      <c r="E247" s="313"/>
      <c r="F247" s="313"/>
      <c r="G247" s="313"/>
      <c r="H247" s="313"/>
      <c r="I247" s="313"/>
      <c r="J247" s="314"/>
      <c r="K247" s="314"/>
      <c r="L247" s="313"/>
      <c r="M247" s="313"/>
      <c r="N247" s="313"/>
      <c r="O247" s="314"/>
      <c r="P247" s="314"/>
      <c r="Q247" s="313"/>
      <c r="R247" s="314"/>
      <c r="S247" s="314"/>
      <c r="T247" s="314"/>
      <c r="U247" s="314"/>
      <c r="V247" s="315"/>
    </row>
    <row r="248" spans="1:22">
      <c r="A248" s="310"/>
      <c r="B248" s="316"/>
      <c r="C248" s="317"/>
      <c r="D248" s="318"/>
      <c r="E248" s="318"/>
      <c r="F248" s="318"/>
      <c r="G248" s="318"/>
      <c r="H248" s="318"/>
      <c r="I248" s="318"/>
      <c r="J248" s="320"/>
      <c r="K248" s="320"/>
      <c r="L248" s="318"/>
      <c r="M248" s="318"/>
      <c r="N248" s="318"/>
      <c r="O248" s="320"/>
      <c r="P248" s="320"/>
      <c r="Q248" s="318"/>
      <c r="R248" s="320"/>
      <c r="S248" s="320"/>
      <c r="T248" s="320"/>
      <c r="U248" s="320"/>
      <c r="V248" s="315"/>
    </row>
    <row r="249" spans="1:22">
      <c r="A249" s="310"/>
      <c r="B249" s="55"/>
      <c r="C249" s="307"/>
      <c r="D249" s="308"/>
      <c r="E249" s="308"/>
      <c r="F249" s="308"/>
      <c r="G249" s="308"/>
      <c r="H249" s="308"/>
      <c r="I249" s="308"/>
      <c r="J249" s="309"/>
      <c r="K249" s="309"/>
      <c r="L249" s="308"/>
      <c r="M249" s="308"/>
      <c r="N249" s="308"/>
      <c r="O249" s="309"/>
      <c r="P249" s="309"/>
      <c r="Q249" s="308"/>
      <c r="R249" s="309"/>
      <c r="S249" s="309"/>
      <c r="T249" s="309"/>
      <c r="U249" s="309"/>
      <c r="V249" s="315"/>
    </row>
    <row r="250" spans="1:22">
      <c r="A250" s="310"/>
      <c r="B250" s="311"/>
      <c r="C250" s="312"/>
      <c r="D250" s="313"/>
      <c r="E250" s="313"/>
      <c r="F250" s="313"/>
      <c r="G250" s="313"/>
      <c r="H250" s="313"/>
      <c r="I250" s="313"/>
      <c r="J250" s="314"/>
      <c r="K250" s="314"/>
      <c r="L250" s="313"/>
      <c r="M250" s="313"/>
      <c r="N250" s="313"/>
      <c r="O250" s="314"/>
      <c r="P250" s="314"/>
      <c r="Q250" s="313"/>
      <c r="R250" s="314"/>
      <c r="S250" s="314"/>
      <c r="T250" s="314"/>
      <c r="U250" s="314"/>
      <c r="V250" s="315"/>
    </row>
    <row r="251" spans="1:22">
      <c r="A251" s="310"/>
      <c r="B251" s="316"/>
      <c r="C251" s="317"/>
      <c r="D251" s="318"/>
      <c r="E251" s="318"/>
      <c r="F251" s="318"/>
      <c r="G251" s="318"/>
      <c r="H251" s="318"/>
      <c r="I251" s="318"/>
      <c r="J251" s="320"/>
      <c r="K251" s="320"/>
      <c r="L251" s="318"/>
      <c r="M251" s="318"/>
      <c r="N251" s="318"/>
      <c r="O251" s="320"/>
      <c r="P251" s="320"/>
      <c r="Q251" s="318"/>
      <c r="R251" s="320"/>
      <c r="S251" s="320"/>
      <c r="T251" s="320"/>
      <c r="U251" s="320"/>
      <c r="V251" s="315"/>
    </row>
    <row r="252" spans="1:22">
      <c r="A252" s="310"/>
      <c r="B252" s="55"/>
      <c r="C252" s="307"/>
      <c r="D252" s="308"/>
      <c r="E252" s="308"/>
      <c r="F252" s="308"/>
      <c r="G252" s="308"/>
      <c r="H252" s="308"/>
      <c r="I252" s="308"/>
      <c r="J252" s="309"/>
      <c r="K252" s="309"/>
      <c r="L252" s="308"/>
      <c r="M252" s="308"/>
      <c r="N252" s="308"/>
      <c r="O252" s="309"/>
      <c r="P252" s="309"/>
      <c r="Q252" s="308"/>
      <c r="R252" s="309"/>
      <c r="S252" s="309"/>
      <c r="T252" s="309"/>
      <c r="U252" s="309"/>
      <c r="V252" s="315"/>
    </row>
    <row r="253" spans="1:22">
      <c r="A253" s="310"/>
      <c r="B253" s="311"/>
      <c r="C253" s="312"/>
      <c r="D253" s="313"/>
      <c r="E253" s="313"/>
      <c r="F253" s="313"/>
      <c r="G253" s="313"/>
      <c r="H253" s="313"/>
      <c r="I253" s="313"/>
      <c r="J253" s="314"/>
      <c r="K253" s="314"/>
      <c r="L253" s="313"/>
      <c r="M253" s="313"/>
      <c r="N253" s="313"/>
      <c r="O253" s="314"/>
      <c r="P253" s="314"/>
      <c r="Q253" s="313"/>
      <c r="R253" s="314"/>
      <c r="S253" s="314"/>
      <c r="T253" s="314"/>
      <c r="U253" s="314"/>
      <c r="V253" s="315"/>
    </row>
    <row r="254" spans="1:22">
      <c r="A254" s="310"/>
      <c r="B254" s="316"/>
      <c r="C254" s="317"/>
      <c r="D254" s="318"/>
      <c r="E254" s="318"/>
      <c r="F254" s="318"/>
      <c r="G254" s="318"/>
      <c r="H254" s="318"/>
      <c r="I254" s="318"/>
      <c r="J254" s="320"/>
      <c r="K254" s="320"/>
      <c r="L254" s="318"/>
      <c r="M254" s="318"/>
      <c r="N254" s="318"/>
      <c r="O254" s="320"/>
      <c r="P254" s="320"/>
      <c r="Q254" s="318"/>
      <c r="R254" s="320"/>
      <c r="S254" s="320"/>
      <c r="T254" s="320"/>
      <c r="U254" s="320"/>
      <c r="V254" s="315"/>
    </row>
    <row r="255" spans="1:22">
      <c r="A255" s="310"/>
      <c r="B255" s="55"/>
      <c r="C255" s="307"/>
      <c r="D255" s="308"/>
      <c r="E255" s="308"/>
      <c r="F255" s="308"/>
      <c r="G255" s="308"/>
      <c r="H255" s="308"/>
      <c r="I255" s="308"/>
      <c r="J255" s="309"/>
      <c r="K255" s="309"/>
      <c r="L255" s="308"/>
      <c r="M255" s="308"/>
      <c r="N255" s="308"/>
      <c r="O255" s="309"/>
      <c r="P255" s="309"/>
      <c r="Q255" s="308"/>
      <c r="R255" s="309"/>
      <c r="S255" s="309"/>
      <c r="T255" s="309"/>
      <c r="U255" s="309"/>
      <c r="V255" s="315"/>
    </row>
    <row r="256" spans="1:22">
      <c r="A256" s="310"/>
      <c r="B256" s="311"/>
      <c r="C256" s="312"/>
      <c r="D256" s="313"/>
      <c r="E256" s="313"/>
      <c r="F256" s="313"/>
      <c r="G256" s="313"/>
      <c r="H256" s="313"/>
      <c r="I256" s="313"/>
      <c r="J256" s="314"/>
      <c r="K256" s="314"/>
      <c r="L256" s="313"/>
      <c r="M256" s="313"/>
      <c r="N256" s="313"/>
      <c r="O256" s="314"/>
      <c r="P256" s="314"/>
      <c r="Q256" s="313"/>
      <c r="R256" s="314"/>
      <c r="S256" s="314"/>
      <c r="T256" s="314"/>
      <c r="U256" s="314"/>
      <c r="V256" s="315"/>
    </row>
    <row r="257" spans="1:22" ht="15" thickBot="1">
      <c r="A257" s="326"/>
      <c r="B257" s="327"/>
      <c r="C257" s="328"/>
      <c r="D257" s="329"/>
      <c r="E257" s="329"/>
      <c r="F257" s="329"/>
      <c r="G257" s="329"/>
      <c r="H257" s="329"/>
      <c r="I257" s="329"/>
      <c r="J257" s="330"/>
      <c r="K257" s="330"/>
      <c r="L257" s="329"/>
      <c r="M257" s="329"/>
      <c r="N257" s="329"/>
      <c r="O257" s="330"/>
      <c r="P257" s="330"/>
      <c r="Q257" s="329"/>
      <c r="R257" s="330"/>
      <c r="S257" s="330"/>
      <c r="T257" s="330"/>
      <c r="U257" s="330"/>
      <c r="V257" s="315"/>
    </row>
    <row r="258" spans="1:22">
      <c r="A258" s="306"/>
      <c r="B258" s="55"/>
      <c r="C258" s="307"/>
      <c r="D258" s="308"/>
      <c r="E258" s="308"/>
      <c r="F258" s="308"/>
      <c r="G258" s="308"/>
      <c r="H258" s="308"/>
      <c r="I258" s="308"/>
      <c r="J258" s="309"/>
      <c r="K258" s="309"/>
      <c r="L258" s="308"/>
      <c r="M258" s="308"/>
      <c r="N258" s="308"/>
      <c r="O258" s="309"/>
      <c r="P258" s="309"/>
      <c r="Q258" s="308"/>
      <c r="R258" s="309"/>
      <c r="S258" s="309"/>
      <c r="T258" s="309"/>
      <c r="U258" s="309"/>
      <c r="V258" s="315"/>
    </row>
    <row r="259" spans="1:22">
      <c r="A259" s="310"/>
      <c r="B259" s="311"/>
      <c r="C259" s="312"/>
      <c r="D259" s="313"/>
      <c r="E259" s="313"/>
      <c r="F259" s="313"/>
      <c r="G259" s="313"/>
      <c r="H259" s="313"/>
      <c r="I259" s="313"/>
      <c r="J259" s="314"/>
      <c r="K259" s="314"/>
      <c r="L259" s="313"/>
      <c r="M259" s="313"/>
      <c r="N259" s="313"/>
      <c r="O259" s="314"/>
      <c r="P259" s="314"/>
      <c r="Q259" s="313"/>
      <c r="R259" s="314"/>
      <c r="S259" s="314"/>
      <c r="T259" s="314"/>
      <c r="U259" s="314"/>
      <c r="V259" s="315"/>
    </row>
    <row r="260" spans="1:22" s="333" customFormat="1">
      <c r="A260" s="310"/>
      <c r="B260" s="316"/>
      <c r="C260" s="317"/>
      <c r="D260" s="318"/>
      <c r="E260" s="318"/>
      <c r="F260" s="318"/>
      <c r="G260" s="318"/>
      <c r="H260" s="318"/>
      <c r="I260" s="318"/>
      <c r="J260" s="320"/>
      <c r="K260" s="320"/>
      <c r="L260" s="318"/>
      <c r="M260" s="318"/>
      <c r="N260" s="318"/>
      <c r="O260" s="320"/>
      <c r="P260" s="320"/>
      <c r="Q260" s="318"/>
      <c r="R260" s="320"/>
      <c r="S260" s="320"/>
      <c r="T260" s="320"/>
      <c r="U260" s="320"/>
      <c r="V260" s="315"/>
    </row>
    <row r="261" spans="1:22">
      <c r="A261" s="310"/>
      <c r="B261" s="55"/>
      <c r="C261" s="307"/>
      <c r="D261" s="308"/>
      <c r="E261" s="308"/>
      <c r="F261" s="308"/>
      <c r="G261" s="308"/>
      <c r="H261" s="308"/>
      <c r="I261" s="308"/>
      <c r="J261" s="309"/>
      <c r="K261" s="309"/>
      <c r="L261" s="308"/>
      <c r="M261" s="308"/>
      <c r="N261" s="308"/>
      <c r="O261" s="309"/>
      <c r="P261" s="309"/>
      <c r="Q261" s="308"/>
      <c r="R261" s="309"/>
      <c r="S261" s="309"/>
      <c r="T261" s="309"/>
      <c r="U261" s="309"/>
      <c r="V261" s="315"/>
    </row>
    <row r="262" spans="1:22">
      <c r="A262" s="310"/>
      <c r="B262" s="311"/>
      <c r="C262" s="312"/>
      <c r="D262" s="313"/>
      <c r="E262" s="313"/>
      <c r="F262" s="313"/>
      <c r="G262" s="313"/>
      <c r="H262" s="313"/>
      <c r="I262" s="313"/>
      <c r="J262" s="314"/>
      <c r="K262" s="314"/>
      <c r="L262" s="313"/>
      <c r="M262" s="313"/>
      <c r="N262" s="313"/>
      <c r="O262" s="314"/>
      <c r="P262" s="314"/>
      <c r="Q262" s="313"/>
      <c r="R262" s="314"/>
      <c r="S262" s="314"/>
      <c r="T262" s="314"/>
      <c r="U262" s="314"/>
      <c r="V262" s="315"/>
    </row>
    <row r="263" spans="1:22" s="333" customFormat="1">
      <c r="A263" s="310"/>
      <c r="B263" s="316"/>
      <c r="C263" s="317"/>
      <c r="D263" s="318"/>
      <c r="E263" s="318"/>
      <c r="F263" s="318"/>
      <c r="G263" s="318"/>
      <c r="H263" s="318"/>
      <c r="I263" s="318"/>
      <c r="J263" s="320"/>
      <c r="K263" s="320"/>
      <c r="L263" s="318"/>
      <c r="M263" s="318"/>
      <c r="N263" s="318"/>
      <c r="O263" s="320"/>
      <c r="P263" s="320"/>
      <c r="Q263" s="318"/>
      <c r="R263" s="320"/>
      <c r="S263" s="320"/>
      <c r="T263" s="320"/>
      <c r="U263" s="320"/>
      <c r="V263" s="315"/>
    </row>
    <row r="264" spans="1:22">
      <c r="A264" s="310"/>
      <c r="B264" s="55"/>
      <c r="C264" s="307"/>
      <c r="D264" s="308"/>
      <c r="E264" s="308"/>
      <c r="F264" s="308"/>
      <c r="G264" s="308"/>
      <c r="H264" s="308"/>
      <c r="I264" s="308"/>
      <c r="J264" s="309"/>
      <c r="K264" s="309"/>
      <c r="L264" s="308"/>
      <c r="M264" s="308"/>
      <c r="N264" s="308"/>
      <c r="O264" s="309"/>
      <c r="P264" s="309"/>
      <c r="Q264" s="308"/>
      <c r="R264" s="309"/>
      <c r="S264" s="309"/>
      <c r="T264" s="309"/>
      <c r="U264" s="309"/>
      <c r="V264" s="315"/>
    </row>
    <row r="265" spans="1:22">
      <c r="A265" s="310"/>
      <c r="B265" s="311"/>
      <c r="C265" s="312"/>
      <c r="D265" s="313"/>
      <c r="E265" s="313"/>
      <c r="F265" s="313"/>
      <c r="G265" s="313"/>
      <c r="H265" s="313"/>
      <c r="I265" s="313"/>
      <c r="J265" s="314"/>
      <c r="K265" s="314"/>
      <c r="L265" s="313"/>
      <c r="M265" s="313"/>
      <c r="N265" s="313"/>
      <c r="O265" s="314"/>
      <c r="P265" s="314"/>
      <c r="Q265" s="313"/>
      <c r="R265" s="314"/>
      <c r="S265" s="314"/>
      <c r="T265" s="314"/>
      <c r="U265" s="314"/>
      <c r="V265" s="315"/>
    </row>
    <row r="266" spans="1:22" s="333" customFormat="1">
      <c r="A266" s="310"/>
      <c r="B266" s="316"/>
      <c r="C266" s="317"/>
      <c r="D266" s="318"/>
      <c r="E266" s="318"/>
      <c r="F266" s="318"/>
      <c r="G266" s="318"/>
      <c r="H266" s="318"/>
      <c r="I266" s="318"/>
      <c r="J266" s="320"/>
      <c r="K266" s="320"/>
      <c r="L266" s="318"/>
      <c r="M266" s="318"/>
      <c r="N266" s="318"/>
      <c r="O266" s="320"/>
      <c r="P266" s="320"/>
      <c r="Q266" s="318"/>
      <c r="R266" s="320"/>
      <c r="S266" s="320"/>
      <c r="T266" s="320"/>
      <c r="U266" s="320"/>
      <c r="V266" s="315"/>
    </row>
    <row r="267" spans="1:22">
      <c r="A267" s="310"/>
      <c r="B267" s="55"/>
      <c r="C267" s="307"/>
      <c r="D267" s="308"/>
      <c r="E267" s="308"/>
      <c r="F267" s="308"/>
      <c r="G267" s="308"/>
      <c r="H267" s="308"/>
      <c r="I267" s="308"/>
      <c r="J267" s="309"/>
      <c r="K267" s="309"/>
      <c r="L267" s="308"/>
      <c r="M267" s="308"/>
      <c r="N267" s="308"/>
      <c r="O267" s="309"/>
      <c r="P267" s="309"/>
      <c r="Q267" s="308"/>
      <c r="R267" s="309"/>
      <c r="S267" s="309"/>
      <c r="T267" s="309"/>
      <c r="U267" s="309"/>
      <c r="V267" s="315"/>
    </row>
    <row r="268" spans="1:22">
      <c r="A268" s="310"/>
      <c r="B268" s="311"/>
      <c r="C268" s="312"/>
      <c r="D268" s="313"/>
      <c r="E268" s="313"/>
      <c r="F268" s="313"/>
      <c r="G268" s="313"/>
      <c r="H268" s="313"/>
      <c r="I268" s="313"/>
      <c r="J268" s="314"/>
      <c r="K268" s="314"/>
      <c r="L268" s="313"/>
      <c r="M268" s="313"/>
      <c r="N268" s="313"/>
      <c r="O268" s="314"/>
      <c r="P268" s="314"/>
      <c r="Q268" s="313"/>
      <c r="R268" s="314"/>
      <c r="S268" s="314"/>
      <c r="T268" s="314"/>
      <c r="U268" s="314"/>
      <c r="V268" s="315"/>
    </row>
    <row r="269" spans="1:22" s="333" customFormat="1">
      <c r="A269" s="310"/>
      <c r="B269" s="316"/>
      <c r="C269" s="317"/>
      <c r="D269" s="318"/>
      <c r="E269" s="318"/>
      <c r="F269" s="318"/>
      <c r="G269" s="318"/>
      <c r="H269" s="318"/>
      <c r="I269" s="318"/>
      <c r="J269" s="320"/>
      <c r="K269" s="320"/>
      <c r="L269" s="318"/>
      <c r="M269" s="318"/>
      <c r="N269" s="318"/>
      <c r="O269" s="320"/>
      <c r="P269" s="320"/>
      <c r="Q269" s="318"/>
      <c r="R269" s="320"/>
      <c r="S269" s="320"/>
      <c r="T269" s="320"/>
      <c r="U269" s="320"/>
      <c r="V269" s="315"/>
    </row>
    <row r="270" spans="1:22">
      <c r="A270" s="310"/>
      <c r="B270" s="55"/>
      <c r="C270" s="307"/>
      <c r="D270" s="308"/>
      <c r="E270" s="308"/>
      <c r="F270" s="308"/>
      <c r="G270" s="308"/>
      <c r="H270" s="308"/>
      <c r="I270" s="308"/>
      <c r="J270" s="309"/>
      <c r="K270" s="309"/>
      <c r="L270" s="308"/>
      <c r="M270" s="308"/>
      <c r="N270" s="308"/>
      <c r="O270" s="309"/>
      <c r="P270" s="309"/>
      <c r="Q270" s="308"/>
      <c r="R270" s="309"/>
      <c r="S270" s="309"/>
      <c r="T270" s="309"/>
      <c r="U270" s="309"/>
      <c r="V270" s="315"/>
    </row>
    <row r="271" spans="1:22">
      <c r="A271" s="310"/>
      <c r="B271" s="311"/>
      <c r="C271" s="312"/>
      <c r="D271" s="313"/>
      <c r="E271" s="313"/>
      <c r="F271" s="313"/>
      <c r="G271" s="313"/>
      <c r="H271" s="313"/>
      <c r="I271" s="313"/>
      <c r="J271" s="314"/>
      <c r="K271" s="314"/>
      <c r="L271" s="313"/>
      <c r="M271" s="313"/>
      <c r="N271" s="313"/>
      <c r="O271" s="314"/>
      <c r="P271" s="314"/>
      <c r="Q271" s="313"/>
      <c r="R271" s="314"/>
      <c r="S271" s="314"/>
      <c r="T271" s="314"/>
      <c r="U271" s="314"/>
      <c r="V271" s="315"/>
    </row>
    <row r="272" spans="1:22" s="333" customFormat="1">
      <c r="A272" s="310"/>
      <c r="B272" s="316"/>
      <c r="C272" s="317"/>
      <c r="D272" s="318"/>
      <c r="E272" s="318"/>
      <c r="F272" s="318"/>
      <c r="G272" s="318"/>
      <c r="H272" s="318"/>
      <c r="I272" s="318"/>
      <c r="J272" s="320"/>
      <c r="K272" s="320"/>
      <c r="L272" s="318"/>
      <c r="M272" s="318"/>
      <c r="N272" s="318"/>
      <c r="O272" s="320"/>
      <c r="P272" s="320"/>
      <c r="Q272" s="318"/>
      <c r="R272" s="320"/>
      <c r="S272" s="320"/>
      <c r="T272" s="320"/>
      <c r="U272" s="320"/>
      <c r="V272" s="315"/>
    </row>
    <row r="273" spans="1:22">
      <c r="A273" s="310"/>
      <c r="B273" s="55"/>
      <c r="C273" s="307"/>
      <c r="D273" s="308"/>
      <c r="E273" s="308"/>
      <c r="F273" s="308"/>
      <c r="G273" s="308"/>
      <c r="H273" s="308"/>
      <c r="I273" s="308"/>
      <c r="J273" s="309"/>
      <c r="K273" s="309"/>
      <c r="L273" s="308"/>
      <c r="M273" s="308"/>
      <c r="N273" s="308"/>
      <c r="O273" s="309"/>
      <c r="P273" s="309"/>
      <c r="Q273" s="308"/>
      <c r="R273" s="309"/>
      <c r="S273" s="309"/>
      <c r="T273" s="309"/>
      <c r="U273" s="309"/>
      <c r="V273" s="315"/>
    </row>
    <row r="274" spans="1:22">
      <c r="A274" s="310"/>
      <c r="B274" s="311"/>
      <c r="C274" s="312"/>
      <c r="D274" s="313"/>
      <c r="E274" s="313"/>
      <c r="F274" s="313"/>
      <c r="G274" s="313"/>
      <c r="H274" s="313"/>
      <c r="I274" s="313"/>
      <c r="J274" s="314"/>
      <c r="K274" s="314"/>
      <c r="L274" s="313"/>
      <c r="M274" s="313"/>
      <c r="N274" s="313"/>
      <c r="O274" s="314"/>
      <c r="P274" s="314"/>
      <c r="Q274" s="313"/>
      <c r="R274" s="314"/>
      <c r="S274" s="314"/>
      <c r="T274" s="314"/>
      <c r="U274" s="314"/>
      <c r="V274" s="315"/>
    </row>
    <row r="275" spans="1:22" s="333" customFormat="1" ht="15" thickBot="1">
      <c r="A275" s="310"/>
      <c r="B275" s="322"/>
      <c r="C275" s="323"/>
      <c r="D275" s="324"/>
      <c r="E275" s="324"/>
      <c r="F275" s="324"/>
      <c r="G275" s="324"/>
      <c r="H275" s="324"/>
      <c r="I275" s="324"/>
      <c r="J275" s="325"/>
      <c r="K275" s="325"/>
      <c r="L275" s="324"/>
      <c r="M275" s="324"/>
      <c r="N275" s="324"/>
      <c r="O275" s="325"/>
      <c r="P275" s="325"/>
      <c r="Q275" s="324"/>
      <c r="R275" s="325"/>
      <c r="S275" s="325"/>
      <c r="T275" s="325"/>
      <c r="U275" s="325"/>
      <c r="V275" s="315"/>
    </row>
    <row r="276" spans="1:22" ht="15" thickTop="1">
      <c r="A276" s="310"/>
      <c r="B276" s="311"/>
      <c r="C276" s="312"/>
      <c r="D276" s="313"/>
      <c r="E276" s="313"/>
      <c r="F276" s="313"/>
      <c r="G276" s="313"/>
      <c r="H276" s="313"/>
      <c r="I276" s="313"/>
      <c r="J276" s="314"/>
      <c r="K276" s="314"/>
      <c r="L276" s="313"/>
      <c r="M276" s="313"/>
      <c r="N276" s="313"/>
      <c r="O276" s="314"/>
      <c r="P276" s="314"/>
      <c r="Q276" s="313"/>
      <c r="R276" s="314"/>
      <c r="S276" s="314"/>
      <c r="T276" s="314"/>
      <c r="U276" s="314"/>
      <c r="V276" s="315"/>
    </row>
    <row r="277" spans="1:22">
      <c r="A277" s="310"/>
      <c r="B277" s="311"/>
      <c r="C277" s="312"/>
      <c r="D277" s="313"/>
      <c r="E277" s="313"/>
      <c r="F277" s="313"/>
      <c r="G277" s="313"/>
      <c r="H277" s="313"/>
      <c r="I277" s="313"/>
      <c r="J277" s="314"/>
      <c r="K277" s="314"/>
      <c r="L277" s="313"/>
      <c r="M277" s="313"/>
      <c r="N277" s="313"/>
      <c r="O277" s="314"/>
      <c r="P277" s="314"/>
      <c r="Q277" s="313"/>
      <c r="R277" s="314"/>
      <c r="S277" s="314"/>
      <c r="T277" s="314"/>
      <c r="U277" s="314"/>
      <c r="V277" s="315"/>
    </row>
    <row r="278" spans="1:22" s="333" customFormat="1">
      <c r="A278" s="310"/>
      <c r="B278" s="316"/>
      <c r="C278" s="317"/>
      <c r="D278" s="318"/>
      <c r="E278" s="318"/>
      <c r="F278" s="318"/>
      <c r="G278" s="318"/>
      <c r="H278" s="318"/>
      <c r="I278" s="318"/>
      <c r="J278" s="320"/>
      <c r="K278" s="320"/>
      <c r="L278" s="318"/>
      <c r="M278" s="318"/>
      <c r="N278" s="318"/>
      <c r="O278" s="320"/>
      <c r="P278" s="320"/>
      <c r="Q278" s="318"/>
      <c r="R278" s="320"/>
      <c r="S278" s="320"/>
      <c r="T278" s="320"/>
      <c r="U278" s="320"/>
      <c r="V278" s="315"/>
    </row>
    <row r="279" spans="1:22">
      <c r="A279" s="310"/>
      <c r="B279" s="55"/>
      <c r="C279" s="307"/>
      <c r="D279" s="308"/>
      <c r="E279" s="308"/>
      <c r="F279" s="308"/>
      <c r="G279" s="308"/>
      <c r="H279" s="308"/>
      <c r="I279" s="308"/>
      <c r="J279" s="309"/>
      <c r="K279" s="309"/>
      <c r="L279" s="308"/>
      <c r="M279" s="308"/>
      <c r="N279" s="308"/>
      <c r="O279" s="309"/>
      <c r="P279" s="309"/>
      <c r="Q279" s="308"/>
      <c r="R279" s="309"/>
      <c r="S279" s="309"/>
      <c r="T279" s="309"/>
      <c r="U279" s="309"/>
      <c r="V279" s="315"/>
    </row>
    <row r="280" spans="1:22">
      <c r="A280" s="310"/>
      <c r="B280" s="311"/>
      <c r="C280" s="312"/>
      <c r="D280" s="313"/>
      <c r="E280" s="313"/>
      <c r="F280" s="313"/>
      <c r="G280" s="313"/>
      <c r="H280" s="313"/>
      <c r="I280" s="313"/>
      <c r="J280" s="314"/>
      <c r="K280" s="314"/>
      <c r="L280" s="313"/>
      <c r="M280" s="313"/>
      <c r="N280" s="313"/>
      <c r="O280" s="314"/>
      <c r="P280" s="314"/>
      <c r="Q280" s="313"/>
      <c r="R280" s="314"/>
      <c r="S280" s="314"/>
      <c r="T280" s="314"/>
      <c r="U280" s="314"/>
      <c r="V280" s="315"/>
    </row>
    <row r="281" spans="1:22" s="333" customFormat="1">
      <c r="A281" s="310"/>
      <c r="B281" s="316"/>
      <c r="C281" s="317"/>
      <c r="D281" s="318"/>
      <c r="E281" s="318"/>
      <c r="F281" s="318"/>
      <c r="G281" s="318"/>
      <c r="H281" s="318"/>
      <c r="I281" s="318"/>
      <c r="J281" s="320"/>
      <c r="K281" s="320"/>
      <c r="L281" s="318"/>
      <c r="M281" s="318"/>
      <c r="N281" s="318"/>
      <c r="O281" s="320"/>
      <c r="P281" s="320"/>
      <c r="Q281" s="318"/>
      <c r="R281" s="320"/>
      <c r="S281" s="320"/>
      <c r="T281" s="320"/>
      <c r="U281" s="320"/>
      <c r="V281" s="315"/>
    </row>
    <row r="282" spans="1:22">
      <c r="A282" s="310"/>
      <c r="B282" s="55"/>
      <c r="C282" s="307"/>
      <c r="D282" s="308"/>
      <c r="E282" s="308"/>
      <c r="F282" s="308"/>
      <c r="G282" s="308"/>
      <c r="H282" s="308"/>
      <c r="I282" s="308"/>
      <c r="J282" s="309"/>
      <c r="K282" s="309"/>
      <c r="L282" s="308"/>
      <c r="M282" s="308"/>
      <c r="N282" s="308"/>
      <c r="O282" s="309"/>
      <c r="P282" s="309"/>
      <c r="Q282" s="308"/>
      <c r="R282" s="309"/>
      <c r="S282" s="309"/>
      <c r="T282" s="309"/>
      <c r="U282" s="309"/>
      <c r="V282" s="315"/>
    </row>
    <row r="283" spans="1:22">
      <c r="A283" s="310"/>
      <c r="B283" s="311"/>
      <c r="C283" s="312"/>
      <c r="D283" s="313"/>
      <c r="E283" s="313"/>
      <c r="F283" s="313"/>
      <c r="G283" s="313"/>
      <c r="H283" s="313"/>
      <c r="I283" s="313"/>
      <c r="J283" s="314"/>
      <c r="K283" s="314"/>
      <c r="L283" s="313"/>
      <c r="M283" s="313"/>
      <c r="N283" s="313"/>
      <c r="O283" s="314"/>
      <c r="P283" s="314"/>
      <c r="Q283" s="313"/>
      <c r="R283" s="314"/>
      <c r="S283" s="314"/>
      <c r="T283" s="314"/>
      <c r="U283" s="314"/>
      <c r="V283" s="315"/>
    </row>
    <row r="284" spans="1:22" s="333" customFormat="1">
      <c r="A284" s="310"/>
      <c r="B284" s="316"/>
      <c r="C284" s="317"/>
      <c r="D284" s="318"/>
      <c r="E284" s="318"/>
      <c r="F284" s="318"/>
      <c r="G284" s="318"/>
      <c r="H284" s="318"/>
      <c r="I284" s="318"/>
      <c r="J284" s="320"/>
      <c r="K284" s="320"/>
      <c r="L284" s="318"/>
      <c r="M284" s="318"/>
      <c r="N284" s="318"/>
      <c r="O284" s="320"/>
      <c r="P284" s="320"/>
      <c r="Q284" s="318"/>
      <c r="R284" s="320"/>
      <c r="S284" s="320"/>
      <c r="T284" s="320"/>
      <c r="U284" s="320"/>
      <c r="V284" s="315"/>
    </row>
    <row r="285" spans="1:22">
      <c r="A285" s="310"/>
      <c r="B285" s="55"/>
      <c r="C285" s="307"/>
      <c r="D285" s="308"/>
      <c r="E285" s="308"/>
      <c r="F285" s="308"/>
      <c r="G285" s="308"/>
      <c r="H285" s="308"/>
      <c r="I285" s="308"/>
      <c r="J285" s="309"/>
      <c r="K285" s="309"/>
      <c r="L285" s="308"/>
      <c r="M285" s="308"/>
      <c r="N285" s="308"/>
      <c r="O285" s="309"/>
      <c r="P285" s="309"/>
      <c r="Q285" s="308"/>
      <c r="R285" s="309"/>
      <c r="S285" s="309"/>
      <c r="T285" s="309"/>
      <c r="U285" s="309"/>
      <c r="V285" s="315"/>
    </row>
    <row r="286" spans="1:22">
      <c r="A286" s="310"/>
      <c r="B286" s="311"/>
      <c r="C286" s="312"/>
      <c r="D286" s="313"/>
      <c r="E286" s="313"/>
      <c r="F286" s="313"/>
      <c r="G286" s="313"/>
      <c r="H286" s="313"/>
      <c r="I286" s="313"/>
      <c r="J286" s="314"/>
      <c r="K286" s="314"/>
      <c r="L286" s="313"/>
      <c r="M286" s="313"/>
      <c r="N286" s="313"/>
      <c r="O286" s="314"/>
      <c r="P286" s="314"/>
      <c r="Q286" s="313"/>
      <c r="R286" s="314"/>
      <c r="S286" s="314"/>
      <c r="T286" s="314"/>
      <c r="U286" s="314"/>
      <c r="V286" s="315"/>
    </row>
    <row r="287" spans="1:22" s="333" customFormat="1">
      <c r="A287" s="310"/>
      <c r="B287" s="316"/>
      <c r="C287" s="317"/>
      <c r="D287" s="318"/>
      <c r="E287" s="318"/>
      <c r="F287" s="318"/>
      <c r="G287" s="318"/>
      <c r="H287" s="318"/>
      <c r="I287" s="318"/>
      <c r="J287" s="320"/>
      <c r="K287" s="320"/>
      <c r="L287" s="318"/>
      <c r="M287" s="318"/>
      <c r="N287" s="318"/>
      <c r="O287" s="320"/>
      <c r="P287" s="320"/>
      <c r="Q287" s="318"/>
      <c r="R287" s="320"/>
      <c r="S287" s="320"/>
      <c r="T287" s="320"/>
      <c r="U287" s="320"/>
      <c r="V287" s="315"/>
    </row>
    <row r="288" spans="1:22">
      <c r="A288" s="310"/>
      <c r="B288" s="55"/>
      <c r="C288" s="307"/>
      <c r="D288" s="308"/>
      <c r="E288" s="308"/>
      <c r="F288" s="308"/>
      <c r="G288" s="308"/>
      <c r="H288" s="308"/>
      <c r="I288" s="308"/>
      <c r="J288" s="309"/>
      <c r="K288" s="309"/>
      <c r="L288" s="308"/>
      <c r="M288" s="308"/>
      <c r="N288" s="308"/>
      <c r="O288" s="309"/>
      <c r="P288" s="309"/>
      <c r="Q288" s="308"/>
      <c r="R288" s="309"/>
      <c r="S288" s="309"/>
      <c r="T288" s="309"/>
      <c r="U288" s="309"/>
      <c r="V288" s="315"/>
    </row>
    <row r="289" spans="1:22">
      <c r="A289" s="310"/>
      <c r="B289" s="311"/>
      <c r="C289" s="312"/>
      <c r="D289" s="313"/>
      <c r="E289" s="313"/>
      <c r="F289" s="313"/>
      <c r="G289" s="313"/>
      <c r="H289" s="313"/>
      <c r="I289" s="313"/>
      <c r="J289" s="314"/>
      <c r="K289" s="314"/>
      <c r="L289" s="313"/>
      <c r="M289" s="313"/>
      <c r="N289" s="313"/>
      <c r="O289" s="314"/>
      <c r="P289" s="314"/>
      <c r="Q289" s="313"/>
      <c r="R289" s="314"/>
      <c r="S289" s="314"/>
      <c r="T289" s="314"/>
      <c r="U289" s="314"/>
      <c r="V289" s="315"/>
    </row>
    <row r="290" spans="1:22" s="333" customFormat="1">
      <c r="A290" s="310"/>
      <c r="B290" s="316"/>
      <c r="C290" s="317"/>
      <c r="D290" s="318"/>
      <c r="E290" s="318"/>
      <c r="F290" s="318"/>
      <c r="G290" s="318"/>
      <c r="H290" s="318"/>
      <c r="I290" s="318"/>
      <c r="J290" s="320"/>
      <c r="K290" s="320"/>
      <c r="L290" s="318"/>
      <c r="M290" s="318"/>
      <c r="N290" s="318"/>
      <c r="O290" s="320"/>
      <c r="P290" s="320"/>
      <c r="Q290" s="318"/>
      <c r="R290" s="320"/>
      <c r="S290" s="320"/>
      <c r="T290" s="320"/>
      <c r="U290" s="320"/>
      <c r="V290" s="315"/>
    </row>
    <row r="291" spans="1:22">
      <c r="A291" s="310"/>
      <c r="B291" s="55"/>
      <c r="C291" s="307"/>
      <c r="D291" s="308"/>
      <c r="E291" s="308"/>
      <c r="F291" s="308"/>
      <c r="G291" s="308"/>
      <c r="H291" s="308"/>
      <c r="I291" s="308"/>
      <c r="J291" s="309"/>
      <c r="K291" s="309"/>
      <c r="L291" s="308"/>
      <c r="M291" s="308"/>
      <c r="N291" s="308"/>
      <c r="O291" s="309"/>
      <c r="P291" s="309"/>
      <c r="Q291" s="308"/>
      <c r="R291" s="309"/>
      <c r="S291" s="309"/>
      <c r="T291" s="309"/>
      <c r="U291" s="309"/>
      <c r="V291" s="315"/>
    </row>
    <row r="292" spans="1:22">
      <c r="A292" s="310"/>
      <c r="B292" s="311"/>
      <c r="C292" s="312"/>
      <c r="D292" s="313"/>
      <c r="E292" s="313"/>
      <c r="F292" s="313"/>
      <c r="G292" s="313"/>
      <c r="H292" s="313"/>
      <c r="I292" s="313"/>
      <c r="J292" s="314"/>
      <c r="K292" s="314"/>
      <c r="L292" s="313"/>
      <c r="M292" s="313"/>
      <c r="N292" s="313"/>
      <c r="O292" s="314"/>
      <c r="P292" s="314"/>
      <c r="Q292" s="313"/>
      <c r="R292" s="314"/>
      <c r="S292" s="314"/>
      <c r="T292" s="314"/>
      <c r="U292" s="314"/>
      <c r="V292" s="315"/>
    </row>
    <row r="293" spans="1:22" s="333" customFormat="1" ht="15" thickBot="1">
      <c r="A293" s="326"/>
      <c r="B293" s="327"/>
      <c r="C293" s="328"/>
      <c r="D293" s="329"/>
      <c r="E293" s="329"/>
      <c r="F293" s="329"/>
      <c r="G293" s="329"/>
      <c r="H293" s="329"/>
      <c r="I293" s="329"/>
      <c r="J293" s="330"/>
      <c r="K293" s="330"/>
      <c r="L293" s="329"/>
      <c r="M293" s="329"/>
      <c r="N293" s="329"/>
      <c r="O293" s="330"/>
      <c r="P293" s="330"/>
      <c r="Q293" s="329"/>
      <c r="R293" s="330"/>
      <c r="S293" s="330"/>
      <c r="T293" s="330"/>
      <c r="U293" s="330"/>
      <c r="V293" s="315"/>
    </row>
    <row r="294" spans="1:22">
      <c r="A294" s="306"/>
      <c r="B294" s="55"/>
      <c r="C294" s="307"/>
      <c r="D294" s="308"/>
      <c r="E294" s="308"/>
      <c r="F294" s="308"/>
      <c r="G294" s="308"/>
      <c r="H294" s="308"/>
      <c r="I294" s="308"/>
      <c r="J294" s="309"/>
      <c r="K294" s="309"/>
      <c r="L294" s="308"/>
      <c r="M294" s="308"/>
      <c r="N294" s="308"/>
      <c r="O294" s="309"/>
      <c r="P294" s="309"/>
      <c r="Q294" s="308"/>
      <c r="R294" s="309"/>
      <c r="S294" s="309"/>
      <c r="T294" s="309"/>
      <c r="U294" s="309"/>
      <c r="V294" s="315"/>
    </row>
    <row r="295" spans="1:22">
      <c r="A295" s="310"/>
      <c r="B295" s="311"/>
      <c r="C295" s="312"/>
      <c r="D295" s="313"/>
      <c r="E295" s="313"/>
      <c r="F295" s="313"/>
      <c r="G295" s="313"/>
      <c r="H295" s="313"/>
      <c r="I295" s="313"/>
      <c r="J295" s="314"/>
      <c r="K295" s="314"/>
      <c r="L295" s="313"/>
      <c r="M295" s="313"/>
      <c r="N295" s="313"/>
      <c r="O295" s="314"/>
      <c r="P295" s="314"/>
      <c r="Q295" s="313"/>
      <c r="R295" s="314"/>
      <c r="S295" s="314"/>
      <c r="T295" s="314"/>
      <c r="U295" s="314"/>
      <c r="V295" s="315"/>
    </row>
    <row r="296" spans="1:22" s="333" customFormat="1">
      <c r="A296" s="310"/>
      <c r="B296" s="316"/>
      <c r="C296" s="317"/>
      <c r="D296" s="318"/>
      <c r="E296" s="318"/>
      <c r="F296" s="318"/>
      <c r="G296" s="318"/>
      <c r="H296" s="318"/>
      <c r="I296" s="318"/>
      <c r="J296" s="320"/>
      <c r="K296" s="320"/>
      <c r="L296" s="318"/>
      <c r="M296" s="318"/>
      <c r="N296" s="318"/>
      <c r="O296" s="320"/>
      <c r="P296" s="320"/>
      <c r="Q296" s="318"/>
      <c r="R296" s="320"/>
      <c r="S296" s="320"/>
      <c r="T296" s="320"/>
      <c r="U296" s="320"/>
      <c r="V296" s="315"/>
    </row>
    <row r="297" spans="1:22">
      <c r="A297" s="310"/>
      <c r="B297" s="55"/>
      <c r="C297" s="307"/>
      <c r="D297" s="308"/>
      <c r="E297" s="308"/>
      <c r="F297" s="308"/>
      <c r="G297" s="308"/>
      <c r="H297" s="308"/>
      <c r="I297" s="308"/>
      <c r="J297" s="309"/>
      <c r="K297" s="309"/>
      <c r="L297" s="308"/>
      <c r="M297" s="308"/>
      <c r="N297" s="308"/>
      <c r="O297" s="309"/>
      <c r="P297" s="309"/>
      <c r="Q297" s="308"/>
      <c r="R297" s="309"/>
      <c r="S297" s="309"/>
      <c r="T297" s="309"/>
      <c r="U297" s="309"/>
      <c r="V297" s="315"/>
    </row>
    <row r="298" spans="1:22">
      <c r="A298" s="310"/>
      <c r="B298" s="311"/>
      <c r="C298" s="312"/>
      <c r="D298" s="313"/>
      <c r="E298" s="313"/>
      <c r="F298" s="313"/>
      <c r="G298" s="313"/>
      <c r="H298" s="313"/>
      <c r="I298" s="313"/>
      <c r="J298" s="314"/>
      <c r="K298" s="314"/>
      <c r="L298" s="313"/>
      <c r="M298" s="313"/>
      <c r="N298" s="313"/>
      <c r="O298" s="314"/>
      <c r="P298" s="314"/>
      <c r="Q298" s="313"/>
      <c r="R298" s="314"/>
      <c r="S298" s="314"/>
      <c r="T298" s="314"/>
      <c r="U298" s="314"/>
      <c r="V298" s="315"/>
    </row>
    <row r="299" spans="1:22" s="333" customFormat="1">
      <c r="A299" s="310"/>
      <c r="B299" s="316"/>
      <c r="C299" s="317"/>
      <c r="D299" s="318"/>
      <c r="E299" s="318"/>
      <c r="F299" s="318"/>
      <c r="G299" s="318"/>
      <c r="H299" s="318"/>
      <c r="I299" s="318"/>
      <c r="J299" s="320"/>
      <c r="K299" s="320"/>
      <c r="L299" s="318"/>
      <c r="M299" s="318"/>
      <c r="N299" s="318"/>
      <c r="O299" s="320"/>
      <c r="P299" s="320"/>
      <c r="Q299" s="318"/>
      <c r="R299" s="320"/>
      <c r="S299" s="320"/>
      <c r="T299" s="320"/>
      <c r="U299" s="320"/>
      <c r="V299" s="315"/>
    </row>
    <row r="300" spans="1:22">
      <c r="A300" s="310"/>
      <c r="B300" s="55"/>
      <c r="C300" s="307"/>
      <c r="D300" s="308"/>
      <c r="E300" s="308"/>
      <c r="F300" s="308"/>
      <c r="G300" s="308"/>
      <c r="H300" s="308"/>
      <c r="I300" s="308"/>
      <c r="J300" s="309"/>
      <c r="K300" s="309"/>
      <c r="L300" s="308"/>
      <c r="M300" s="308"/>
      <c r="N300" s="308"/>
      <c r="O300" s="309"/>
      <c r="P300" s="309"/>
      <c r="Q300" s="308"/>
      <c r="R300" s="309"/>
      <c r="S300" s="309"/>
      <c r="T300" s="309"/>
      <c r="U300" s="309"/>
      <c r="V300" s="315"/>
    </row>
    <row r="301" spans="1:22">
      <c r="A301" s="310"/>
      <c r="B301" s="311"/>
      <c r="C301" s="312"/>
      <c r="D301" s="313"/>
      <c r="E301" s="313"/>
      <c r="F301" s="313"/>
      <c r="G301" s="313"/>
      <c r="H301" s="313"/>
      <c r="I301" s="313"/>
      <c r="J301" s="314"/>
      <c r="K301" s="314"/>
      <c r="L301" s="313"/>
      <c r="M301" s="313"/>
      <c r="N301" s="313"/>
      <c r="O301" s="314"/>
      <c r="P301" s="314"/>
      <c r="Q301" s="313"/>
      <c r="R301" s="314"/>
      <c r="S301" s="314"/>
      <c r="T301" s="314"/>
      <c r="U301" s="314"/>
      <c r="V301" s="315"/>
    </row>
    <row r="302" spans="1:22" s="333" customFormat="1">
      <c r="A302" s="310"/>
      <c r="B302" s="316"/>
      <c r="C302" s="317"/>
      <c r="D302" s="318"/>
      <c r="E302" s="318"/>
      <c r="F302" s="318"/>
      <c r="G302" s="318"/>
      <c r="H302" s="318"/>
      <c r="I302" s="318"/>
      <c r="J302" s="320"/>
      <c r="K302" s="320"/>
      <c r="L302" s="318"/>
      <c r="M302" s="318"/>
      <c r="N302" s="318"/>
      <c r="O302" s="320"/>
      <c r="P302" s="320"/>
      <c r="Q302" s="318"/>
      <c r="R302" s="320"/>
      <c r="S302" s="320"/>
      <c r="T302" s="320"/>
      <c r="U302" s="320"/>
      <c r="V302" s="315"/>
    </row>
    <row r="303" spans="1:22">
      <c r="A303" s="310"/>
      <c r="B303" s="55"/>
      <c r="C303" s="307"/>
      <c r="D303" s="308"/>
      <c r="E303" s="308"/>
      <c r="F303" s="308"/>
      <c r="G303" s="308"/>
      <c r="H303" s="308"/>
      <c r="I303" s="308"/>
      <c r="J303" s="309"/>
      <c r="K303" s="309"/>
      <c r="L303" s="308"/>
      <c r="M303" s="308"/>
      <c r="N303" s="308"/>
      <c r="O303" s="309"/>
      <c r="P303" s="309"/>
      <c r="Q303" s="308"/>
      <c r="R303" s="309"/>
      <c r="S303" s="309"/>
      <c r="T303" s="309"/>
      <c r="U303" s="309"/>
      <c r="V303" s="315"/>
    </row>
    <row r="304" spans="1:22">
      <c r="A304" s="310"/>
      <c r="B304" s="311"/>
      <c r="C304" s="312"/>
      <c r="D304" s="313"/>
      <c r="E304" s="313"/>
      <c r="F304" s="313"/>
      <c r="G304" s="313"/>
      <c r="H304" s="313"/>
      <c r="I304" s="313"/>
      <c r="J304" s="314"/>
      <c r="K304" s="314"/>
      <c r="L304" s="313"/>
      <c r="M304" s="313"/>
      <c r="N304" s="313"/>
      <c r="O304" s="314"/>
      <c r="P304" s="314"/>
      <c r="Q304" s="313"/>
      <c r="R304" s="314"/>
      <c r="S304" s="314"/>
      <c r="T304" s="314"/>
      <c r="U304" s="314"/>
      <c r="V304" s="315"/>
    </row>
    <row r="305" spans="1:22" s="333" customFormat="1">
      <c r="A305" s="310"/>
      <c r="B305" s="316"/>
      <c r="C305" s="317"/>
      <c r="D305" s="318"/>
      <c r="E305" s="318"/>
      <c r="F305" s="318"/>
      <c r="G305" s="318"/>
      <c r="H305" s="318"/>
      <c r="I305" s="318"/>
      <c r="J305" s="320"/>
      <c r="K305" s="320"/>
      <c r="L305" s="318"/>
      <c r="M305" s="318"/>
      <c r="N305" s="318"/>
      <c r="O305" s="320"/>
      <c r="P305" s="320"/>
      <c r="Q305" s="318"/>
      <c r="R305" s="320"/>
      <c r="S305" s="320"/>
      <c r="T305" s="320"/>
      <c r="U305" s="320"/>
      <c r="V305" s="315"/>
    </row>
    <row r="306" spans="1:22">
      <c r="A306" s="310"/>
      <c r="B306" s="55"/>
      <c r="C306" s="307"/>
      <c r="D306" s="308"/>
      <c r="E306" s="308"/>
      <c r="F306" s="308"/>
      <c r="G306" s="308"/>
      <c r="H306" s="308"/>
      <c r="I306" s="308"/>
      <c r="J306" s="309"/>
      <c r="K306" s="309"/>
      <c r="L306" s="308"/>
      <c r="M306" s="308"/>
      <c r="N306" s="308"/>
      <c r="O306" s="309"/>
      <c r="P306" s="309"/>
      <c r="Q306" s="308"/>
      <c r="R306" s="309"/>
      <c r="S306" s="309"/>
      <c r="T306" s="309"/>
      <c r="U306" s="309"/>
      <c r="V306" s="315"/>
    </row>
    <row r="307" spans="1:22">
      <c r="A307" s="310"/>
      <c r="B307" s="311"/>
      <c r="C307" s="312"/>
      <c r="D307" s="313"/>
      <c r="E307" s="313"/>
      <c r="F307" s="313"/>
      <c r="G307" s="313"/>
      <c r="H307" s="313"/>
      <c r="I307" s="313"/>
      <c r="J307" s="314"/>
      <c r="K307" s="314"/>
      <c r="L307" s="313"/>
      <c r="M307" s="313"/>
      <c r="N307" s="313"/>
      <c r="O307" s="314"/>
      <c r="P307" s="314"/>
      <c r="Q307" s="313"/>
      <c r="R307" s="314"/>
      <c r="S307" s="314"/>
      <c r="T307" s="314"/>
      <c r="U307" s="314"/>
      <c r="V307" s="315"/>
    </row>
    <row r="308" spans="1:22" s="333" customFormat="1">
      <c r="A308" s="310"/>
      <c r="B308" s="316"/>
      <c r="C308" s="317"/>
      <c r="D308" s="318"/>
      <c r="E308" s="318"/>
      <c r="F308" s="318"/>
      <c r="G308" s="318"/>
      <c r="H308" s="318"/>
      <c r="I308" s="318"/>
      <c r="J308" s="320"/>
      <c r="K308" s="320"/>
      <c r="L308" s="318"/>
      <c r="M308" s="318"/>
      <c r="N308" s="318"/>
      <c r="O308" s="320"/>
      <c r="P308" s="320"/>
      <c r="Q308" s="318"/>
      <c r="R308" s="320"/>
      <c r="S308" s="320"/>
      <c r="T308" s="320"/>
      <c r="U308" s="320"/>
      <c r="V308" s="315"/>
    </row>
    <row r="309" spans="1:22">
      <c r="A309" s="310"/>
      <c r="B309" s="55"/>
      <c r="C309" s="307"/>
      <c r="D309" s="308"/>
      <c r="E309" s="308"/>
      <c r="F309" s="308"/>
      <c r="G309" s="308"/>
      <c r="H309" s="308"/>
      <c r="I309" s="308"/>
      <c r="J309" s="309"/>
      <c r="K309" s="309"/>
      <c r="L309" s="308"/>
      <c r="M309" s="308"/>
      <c r="N309" s="308"/>
      <c r="O309" s="309"/>
      <c r="P309" s="309"/>
      <c r="Q309" s="308"/>
      <c r="R309" s="309"/>
      <c r="S309" s="309"/>
      <c r="T309" s="309"/>
      <c r="U309" s="309"/>
      <c r="V309" s="315"/>
    </row>
    <row r="310" spans="1:22">
      <c r="A310" s="310"/>
      <c r="B310" s="311"/>
      <c r="C310" s="312"/>
      <c r="D310" s="313"/>
      <c r="E310" s="313"/>
      <c r="F310" s="313"/>
      <c r="G310" s="313"/>
      <c r="H310" s="313"/>
      <c r="I310" s="313"/>
      <c r="J310" s="314"/>
      <c r="K310" s="314"/>
      <c r="L310" s="313"/>
      <c r="M310" s="313"/>
      <c r="N310" s="313"/>
      <c r="O310" s="314"/>
      <c r="P310" s="314"/>
      <c r="Q310" s="313"/>
      <c r="R310" s="314"/>
      <c r="S310" s="314"/>
      <c r="T310" s="314"/>
      <c r="U310" s="314"/>
      <c r="V310" s="315"/>
    </row>
    <row r="311" spans="1:22" s="333" customFormat="1" ht="15" thickBot="1">
      <c r="A311" s="310"/>
      <c r="B311" s="322"/>
      <c r="C311" s="323"/>
      <c r="D311" s="324"/>
      <c r="E311" s="324"/>
      <c r="F311" s="324"/>
      <c r="G311" s="324"/>
      <c r="H311" s="324"/>
      <c r="I311" s="324"/>
      <c r="J311" s="325"/>
      <c r="K311" s="325"/>
      <c r="L311" s="324"/>
      <c r="M311" s="324"/>
      <c r="N311" s="324"/>
      <c r="O311" s="325"/>
      <c r="P311" s="325"/>
      <c r="Q311" s="324"/>
      <c r="R311" s="325"/>
      <c r="S311" s="325"/>
      <c r="T311" s="325"/>
      <c r="U311" s="325"/>
      <c r="V311" s="315"/>
    </row>
    <row r="312" spans="1:22" ht="15" thickTop="1">
      <c r="A312" s="310"/>
      <c r="B312" s="311"/>
      <c r="C312" s="312"/>
      <c r="D312" s="313"/>
      <c r="E312" s="313"/>
      <c r="F312" s="313"/>
      <c r="G312" s="313"/>
      <c r="H312" s="313"/>
      <c r="I312" s="313"/>
      <c r="J312" s="314"/>
      <c r="K312" s="314"/>
      <c r="L312" s="313"/>
      <c r="M312" s="313"/>
      <c r="N312" s="313"/>
      <c r="O312" s="314"/>
      <c r="P312" s="314"/>
      <c r="Q312" s="313"/>
      <c r="R312" s="314"/>
      <c r="S312" s="314"/>
      <c r="T312" s="314"/>
      <c r="U312" s="314"/>
      <c r="V312" s="315"/>
    </row>
    <row r="313" spans="1:22">
      <c r="A313" s="310"/>
      <c r="B313" s="311"/>
      <c r="C313" s="312"/>
      <c r="D313" s="313"/>
      <c r="E313" s="313"/>
      <c r="F313" s="313"/>
      <c r="G313" s="313"/>
      <c r="H313" s="313"/>
      <c r="I313" s="313"/>
      <c r="J313" s="314"/>
      <c r="K313" s="314"/>
      <c r="L313" s="313"/>
      <c r="M313" s="313"/>
      <c r="N313" s="313"/>
      <c r="O313" s="314"/>
      <c r="P313" s="314"/>
      <c r="Q313" s="313"/>
      <c r="R313" s="314"/>
      <c r="S313" s="314"/>
      <c r="T313" s="314"/>
      <c r="U313" s="314"/>
      <c r="V313" s="315"/>
    </row>
    <row r="314" spans="1:22" s="333" customFormat="1">
      <c r="A314" s="310"/>
      <c r="B314" s="316"/>
      <c r="C314" s="317"/>
      <c r="D314" s="318"/>
      <c r="E314" s="318"/>
      <c r="F314" s="318"/>
      <c r="G314" s="318"/>
      <c r="H314" s="318"/>
      <c r="I314" s="318"/>
      <c r="J314" s="320"/>
      <c r="K314" s="320"/>
      <c r="L314" s="318"/>
      <c r="M314" s="318"/>
      <c r="N314" s="318"/>
      <c r="O314" s="320"/>
      <c r="P314" s="320"/>
      <c r="Q314" s="318"/>
      <c r="R314" s="320"/>
      <c r="S314" s="320"/>
      <c r="T314" s="320"/>
      <c r="U314" s="320"/>
      <c r="V314" s="315"/>
    </row>
    <row r="315" spans="1:22">
      <c r="A315" s="310"/>
      <c r="B315" s="55"/>
      <c r="C315" s="307"/>
      <c r="D315" s="308"/>
      <c r="E315" s="308"/>
      <c r="F315" s="308"/>
      <c r="G315" s="308"/>
      <c r="H315" s="308"/>
      <c r="I315" s="308"/>
      <c r="J315" s="309"/>
      <c r="K315" s="309"/>
      <c r="L315" s="308"/>
      <c r="M315" s="308"/>
      <c r="N315" s="308"/>
      <c r="O315" s="309"/>
      <c r="P315" s="309"/>
      <c r="Q315" s="308"/>
      <c r="R315" s="309"/>
      <c r="S315" s="309"/>
      <c r="T315" s="309"/>
      <c r="U315" s="309"/>
      <c r="V315" s="315"/>
    </row>
    <row r="316" spans="1:22">
      <c r="A316" s="310"/>
      <c r="B316" s="311"/>
      <c r="C316" s="312"/>
      <c r="D316" s="313"/>
      <c r="E316" s="313"/>
      <c r="F316" s="313"/>
      <c r="G316" s="313"/>
      <c r="H316" s="313"/>
      <c r="I316" s="313"/>
      <c r="J316" s="314"/>
      <c r="K316" s="314"/>
      <c r="L316" s="313"/>
      <c r="M316" s="313"/>
      <c r="N316" s="313"/>
      <c r="O316" s="314"/>
      <c r="P316" s="314"/>
      <c r="Q316" s="313"/>
      <c r="R316" s="314"/>
      <c r="S316" s="314"/>
      <c r="T316" s="314"/>
      <c r="U316" s="314"/>
      <c r="V316" s="315"/>
    </row>
    <row r="317" spans="1:22" s="333" customFormat="1">
      <c r="A317" s="310"/>
      <c r="B317" s="316"/>
      <c r="C317" s="317"/>
      <c r="D317" s="318"/>
      <c r="E317" s="318"/>
      <c r="F317" s="318"/>
      <c r="G317" s="318"/>
      <c r="H317" s="318"/>
      <c r="I317" s="318"/>
      <c r="J317" s="320"/>
      <c r="K317" s="320"/>
      <c r="L317" s="318"/>
      <c r="M317" s="318"/>
      <c r="N317" s="318"/>
      <c r="O317" s="320"/>
      <c r="P317" s="320"/>
      <c r="Q317" s="318"/>
      <c r="R317" s="320"/>
      <c r="S317" s="320"/>
      <c r="T317" s="320"/>
      <c r="U317" s="320"/>
      <c r="V317" s="315"/>
    </row>
    <row r="318" spans="1:22">
      <c r="A318" s="310"/>
      <c r="B318" s="55"/>
      <c r="C318" s="307"/>
      <c r="D318" s="308"/>
      <c r="E318" s="308"/>
      <c r="F318" s="308"/>
      <c r="G318" s="308"/>
      <c r="H318" s="308"/>
      <c r="I318" s="308"/>
      <c r="J318" s="309"/>
      <c r="K318" s="309"/>
      <c r="L318" s="308"/>
      <c r="M318" s="308"/>
      <c r="N318" s="308"/>
      <c r="O318" s="309"/>
      <c r="P318" s="309"/>
      <c r="Q318" s="308"/>
      <c r="R318" s="309"/>
      <c r="S318" s="309"/>
      <c r="T318" s="309"/>
      <c r="U318" s="309"/>
      <c r="V318" s="315"/>
    </row>
    <row r="319" spans="1:22">
      <c r="A319" s="310"/>
      <c r="B319" s="311"/>
      <c r="C319" s="312"/>
      <c r="D319" s="313"/>
      <c r="E319" s="313"/>
      <c r="F319" s="313"/>
      <c r="G319" s="313"/>
      <c r="H319" s="313"/>
      <c r="I319" s="313"/>
      <c r="J319" s="314"/>
      <c r="K319" s="314"/>
      <c r="L319" s="313"/>
      <c r="M319" s="313"/>
      <c r="N319" s="313"/>
      <c r="O319" s="314"/>
      <c r="P319" s="314"/>
      <c r="Q319" s="313"/>
      <c r="R319" s="314"/>
      <c r="S319" s="314"/>
      <c r="T319" s="314"/>
      <c r="U319" s="314"/>
      <c r="V319" s="315"/>
    </row>
    <row r="320" spans="1:22" s="333" customFormat="1">
      <c r="A320" s="310"/>
      <c r="B320" s="316"/>
      <c r="C320" s="317"/>
      <c r="D320" s="318"/>
      <c r="E320" s="318"/>
      <c r="F320" s="318"/>
      <c r="G320" s="318"/>
      <c r="H320" s="318"/>
      <c r="I320" s="318"/>
      <c r="J320" s="320"/>
      <c r="K320" s="320"/>
      <c r="L320" s="318"/>
      <c r="M320" s="318"/>
      <c r="N320" s="318"/>
      <c r="O320" s="320"/>
      <c r="P320" s="320"/>
      <c r="Q320" s="318"/>
      <c r="R320" s="320"/>
      <c r="S320" s="320"/>
      <c r="T320" s="320"/>
      <c r="U320" s="320"/>
      <c r="V320" s="315"/>
    </row>
    <row r="321" spans="1:22">
      <c r="A321" s="310"/>
      <c r="B321" s="55"/>
      <c r="C321" s="307"/>
      <c r="D321" s="308"/>
      <c r="E321" s="308"/>
      <c r="F321" s="308"/>
      <c r="G321" s="308"/>
      <c r="H321" s="308"/>
      <c r="I321" s="308"/>
      <c r="J321" s="309"/>
      <c r="K321" s="309"/>
      <c r="L321" s="308"/>
      <c r="M321" s="308"/>
      <c r="N321" s="308"/>
      <c r="O321" s="309"/>
      <c r="P321" s="309"/>
      <c r="Q321" s="308"/>
      <c r="R321" s="309"/>
      <c r="S321" s="309"/>
      <c r="T321" s="309"/>
      <c r="U321" s="309"/>
      <c r="V321" s="315"/>
    </row>
    <row r="322" spans="1:22">
      <c r="A322" s="310"/>
      <c r="B322" s="311"/>
      <c r="C322" s="312"/>
      <c r="D322" s="313"/>
      <c r="E322" s="313"/>
      <c r="F322" s="313"/>
      <c r="G322" s="313"/>
      <c r="H322" s="313"/>
      <c r="I322" s="313"/>
      <c r="J322" s="314"/>
      <c r="K322" s="314"/>
      <c r="L322" s="313"/>
      <c r="M322" s="313"/>
      <c r="N322" s="313"/>
      <c r="O322" s="314"/>
      <c r="P322" s="314"/>
      <c r="Q322" s="313"/>
      <c r="R322" s="314"/>
      <c r="S322" s="314"/>
      <c r="T322" s="314"/>
      <c r="U322" s="314"/>
      <c r="V322" s="315"/>
    </row>
    <row r="323" spans="1:22" s="333" customFormat="1">
      <c r="A323" s="310"/>
      <c r="B323" s="316"/>
      <c r="C323" s="317"/>
      <c r="D323" s="318"/>
      <c r="E323" s="318"/>
      <c r="F323" s="318"/>
      <c r="G323" s="318"/>
      <c r="H323" s="318"/>
      <c r="I323" s="318"/>
      <c r="J323" s="320"/>
      <c r="K323" s="320"/>
      <c r="L323" s="318"/>
      <c r="M323" s="318"/>
      <c r="N323" s="318"/>
      <c r="O323" s="320"/>
      <c r="P323" s="320"/>
      <c r="Q323" s="318"/>
      <c r="R323" s="320"/>
      <c r="S323" s="320"/>
      <c r="T323" s="320"/>
      <c r="U323" s="320"/>
      <c r="V323" s="315"/>
    </row>
    <row r="324" spans="1:22">
      <c r="A324" s="310"/>
      <c r="B324" s="55"/>
      <c r="C324" s="307"/>
      <c r="D324" s="308"/>
      <c r="E324" s="308"/>
      <c r="F324" s="308"/>
      <c r="G324" s="308"/>
      <c r="H324" s="308"/>
      <c r="I324" s="308"/>
      <c r="J324" s="309"/>
      <c r="K324" s="309"/>
      <c r="L324" s="308"/>
      <c r="M324" s="308"/>
      <c r="N324" s="308"/>
      <c r="O324" s="309"/>
      <c r="P324" s="309"/>
      <c r="Q324" s="308"/>
      <c r="R324" s="309"/>
      <c r="S324" s="309"/>
      <c r="T324" s="309"/>
      <c r="U324" s="309"/>
      <c r="V324" s="315"/>
    </row>
    <row r="325" spans="1:22">
      <c r="A325" s="310"/>
      <c r="B325" s="311"/>
      <c r="C325" s="312"/>
      <c r="D325" s="313"/>
      <c r="E325" s="313"/>
      <c r="F325" s="313"/>
      <c r="G325" s="313"/>
      <c r="H325" s="313"/>
      <c r="I325" s="313"/>
      <c r="J325" s="314"/>
      <c r="K325" s="314"/>
      <c r="L325" s="313"/>
      <c r="M325" s="313"/>
      <c r="N325" s="313"/>
      <c r="O325" s="314"/>
      <c r="P325" s="314"/>
      <c r="Q325" s="313"/>
      <c r="R325" s="314"/>
      <c r="S325" s="314"/>
      <c r="T325" s="314"/>
      <c r="U325" s="314"/>
      <c r="V325" s="315"/>
    </row>
    <row r="326" spans="1:22" s="333" customFormat="1">
      <c r="A326" s="310"/>
      <c r="B326" s="316"/>
      <c r="C326" s="317"/>
      <c r="D326" s="318"/>
      <c r="E326" s="318"/>
      <c r="F326" s="318"/>
      <c r="G326" s="318"/>
      <c r="H326" s="318"/>
      <c r="I326" s="318"/>
      <c r="J326" s="320"/>
      <c r="K326" s="320"/>
      <c r="L326" s="318"/>
      <c r="M326" s="318"/>
      <c r="N326" s="318"/>
      <c r="O326" s="320"/>
      <c r="P326" s="320"/>
      <c r="Q326" s="318"/>
      <c r="R326" s="320"/>
      <c r="S326" s="320"/>
      <c r="T326" s="320"/>
      <c r="U326" s="320"/>
      <c r="V326" s="315"/>
    </row>
    <row r="327" spans="1:22">
      <c r="A327" s="310"/>
      <c r="B327" s="55"/>
      <c r="C327" s="307"/>
      <c r="D327" s="308"/>
      <c r="E327" s="308"/>
      <c r="F327" s="308"/>
      <c r="G327" s="308"/>
      <c r="H327" s="308"/>
      <c r="I327" s="308"/>
      <c r="J327" s="309"/>
      <c r="K327" s="309"/>
      <c r="L327" s="308"/>
      <c r="M327" s="308"/>
      <c r="N327" s="308"/>
      <c r="O327" s="309"/>
      <c r="P327" s="309"/>
      <c r="Q327" s="308"/>
      <c r="R327" s="309"/>
      <c r="S327" s="309"/>
      <c r="T327" s="309"/>
      <c r="U327" s="309"/>
      <c r="V327" s="315"/>
    </row>
    <row r="328" spans="1:22">
      <c r="A328" s="310"/>
      <c r="B328" s="311"/>
      <c r="C328" s="312"/>
      <c r="D328" s="313"/>
      <c r="E328" s="313"/>
      <c r="F328" s="313"/>
      <c r="G328" s="313"/>
      <c r="H328" s="313"/>
      <c r="I328" s="313"/>
      <c r="J328" s="314"/>
      <c r="K328" s="314"/>
      <c r="L328" s="313"/>
      <c r="M328" s="313"/>
      <c r="N328" s="313"/>
      <c r="O328" s="314"/>
      <c r="P328" s="314"/>
      <c r="Q328" s="313"/>
      <c r="R328" s="314"/>
      <c r="S328" s="314"/>
      <c r="T328" s="314"/>
      <c r="U328" s="314"/>
      <c r="V328" s="315"/>
    </row>
    <row r="329" spans="1:22" s="333" customFormat="1" ht="15" thickBot="1">
      <c r="A329" s="326"/>
      <c r="B329" s="327"/>
      <c r="C329" s="328"/>
      <c r="D329" s="329"/>
      <c r="E329" s="329"/>
      <c r="F329" s="329"/>
      <c r="G329" s="329"/>
      <c r="H329" s="329"/>
      <c r="I329" s="329"/>
      <c r="J329" s="330"/>
      <c r="K329" s="330"/>
      <c r="L329" s="329"/>
      <c r="M329" s="329"/>
      <c r="N329" s="329"/>
      <c r="O329" s="330"/>
      <c r="P329" s="330"/>
      <c r="Q329" s="329"/>
      <c r="R329" s="330"/>
      <c r="S329" s="330"/>
      <c r="T329" s="330"/>
      <c r="U329" s="330"/>
      <c r="V329" s="315"/>
    </row>
    <row r="330" spans="1:22">
      <c r="A330" s="306"/>
      <c r="B330" s="55"/>
      <c r="C330" s="307"/>
      <c r="D330" s="308"/>
      <c r="E330" s="308"/>
      <c r="F330" s="308"/>
      <c r="G330" s="308"/>
      <c r="H330" s="308"/>
      <c r="I330" s="308"/>
      <c r="J330" s="309"/>
      <c r="K330" s="309"/>
      <c r="L330" s="308"/>
      <c r="M330" s="308"/>
      <c r="N330" s="308"/>
      <c r="O330" s="309"/>
      <c r="P330" s="309"/>
      <c r="Q330" s="308"/>
      <c r="R330" s="309"/>
      <c r="S330" s="309"/>
      <c r="T330" s="309"/>
      <c r="U330" s="309"/>
      <c r="V330" s="315"/>
    </row>
    <row r="331" spans="1:22">
      <c r="A331" s="310"/>
      <c r="B331" s="311"/>
      <c r="C331" s="312"/>
      <c r="D331" s="313"/>
      <c r="E331" s="313"/>
      <c r="F331" s="313"/>
      <c r="G331" s="313"/>
      <c r="H331" s="313"/>
      <c r="I331" s="313"/>
      <c r="J331" s="314"/>
      <c r="K331" s="314"/>
      <c r="L331" s="313"/>
      <c r="M331" s="313"/>
      <c r="N331" s="313"/>
      <c r="O331" s="314"/>
      <c r="P331" s="314"/>
      <c r="Q331" s="313"/>
      <c r="R331" s="314"/>
      <c r="S331" s="314"/>
      <c r="T331" s="314"/>
      <c r="U331" s="314"/>
      <c r="V331" s="315"/>
    </row>
    <row r="332" spans="1:22">
      <c r="A332" s="310"/>
      <c r="B332" s="316"/>
      <c r="C332" s="317"/>
      <c r="D332" s="318"/>
      <c r="E332" s="318"/>
      <c r="F332" s="318"/>
      <c r="G332" s="318"/>
      <c r="H332" s="318"/>
      <c r="I332" s="318"/>
      <c r="J332" s="320"/>
      <c r="K332" s="320"/>
      <c r="L332" s="318"/>
      <c r="M332" s="318"/>
      <c r="N332" s="318"/>
      <c r="O332" s="320"/>
      <c r="P332" s="320"/>
      <c r="Q332" s="318"/>
      <c r="R332" s="320"/>
      <c r="S332" s="320"/>
      <c r="T332" s="320"/>
      <c r="U332" s="320"/>
      <c r="V332" s="315"/>
    </row>
    <row r="333" spans="1:22">
      <c r="A333" s="310"/>
      <c r="B333" s="55"/>
      <c r="C333" s="307"/>
      <c r="D333" s="308"/>
      <c r="E333" s="308"/>
      <c r="F333" s="308"/>
      <c r="G333" s="308"/>
      <c r="H333" s="308"/>
      <c r="I333" s="308"/>
      <c r="J333" s="309"/>
      <c r="K333" s="309"/>
      <c r="L333" s="308"/>
      <c r="M333" s="308"/>
      <c r="N333" s="308"/>
      <c r="O333" s="309"/>
      <c r="P333" s="309"/>
      <c r="Q333" s="308"/>
      <c r="R333" s="309"/>
      <c r="S333" s="309"/>
      <c r="T333" s="309"/>
      <c r="U333" s="309"/>
      <c r="V333" s="315"/>
    </row>
    <row r="334" spans="1:22">
      <c r="A334" s="310"/>
      <c r="B334" s="311"/>
      <c r="C334" s="312"/>
      <c r="D334" s="313"/>
      <c r="E334" s="313"/>
      <c r="F334" s="313"/>
      <c r="G334" s="313"/>
      <c r="H334" s="313"/>
      <c r="I334" s="313"/>
      <c r="J334" s="314"/>
      <c r="K334" s="314"/>
      <c r="L334" s="313"/>
      <c r="M334" s="313"/>
      <c r="N334" s="313"/>
      <c r="O334" s="314"/>
      <c r="P334" s="314"/>
      <c r="Q334" s="313"/>
      <c r="R334" s="314"/>
      <c r="S334" s="314"/>
      <c r="T334" s="314"/>
      <c r="U334" s="314"/>
      <c r="V334" s="315"/>
    </row>
    <row r="335" spans="1:22">
      <c r="A335" s="310"/>
      <c r="B335" s="316"/>
      <c r="C335" s="317"/>
      <c r="D335" s="318"/>
      <c r="E335" s="318"/>
      <c r="F335" s="318"/>
      <c r="G335" s="318"/>
      <c r="H335" s="318"/>
      <c r="I335" s="318"/>
      <c r="J335" s="320"/>
      <c r="K335" s="320"/>
      <c r="L335" s="318"/>
      <c r="M335" s="318"/>
      <c r="N335" s="318"/>
      <c r="O335" s="320"/>
      <c r="P335" s="320"/>
      <c r="Q335" s="318"/>
      <c r="R335" s="320"/>
      <c r="S335" s="320"/>
      <c r="T335" s="320"/>
      <c r="U335" s="320"/>
      <c r="V335" s="315"/>
    </row>
    <row r="336" spans="1:22">
      <c r="A336" s="310"/>
      <c r="B336" s="55"/>
      <c r="C336" s="307"/>
      <c r="D336" s="308"/>
      <c r="E336" s="308"/>
      <c r="F336" s="308"/>
      <c r="G336" s="308"/>
      <c r="H336" s="308"/>
      <c r="I336" s="308"/>
      <c r="J336" s="309"/>
      <c r="K336" s="309"/>
      <c r="L336" s="308"/>
      <c r="M336" s="308"/>
      <c r="N336" s="308"/>
      <c r="O336" s="309"/>
      <c r="P336" s="309"/>
      <c r="Q336" s="308"/>
      <c r="R336" s="309"/>
      <c r="S336" s="309"/>
      <c r="T336" s="309"/>
      <c r="U336" s="309"/>
      <c r="V336" s="315"/>
    </row>
    <row r="337" spans="1:22">
      <c r="A337" s="310"/>
      <c r="B337" s="311"/>
      <c r="C337" s="312"/>
      <c r="D337" s="313"/>
      <c r="E337" s="313"/>
      <c r="F337" s="313"/>
      <c r="G337" s="313"/>
      <c r="H337" s="313"/>
      <c r="I337" s="313"/>
      <c r="J337" s="314"/>
      <c r="K337" s="314"/>
      <c r="L337" s="313"/>
      <c r="M337" s="313"/>
      <c r="N337" s="313"/>
      <c r="O337" s="314"/>
      <c r="P337" s="314"/>
      <c r="Q337" s="313"/>
      <c r="R337" s="314"/>
      <c r="S337" s="314"/>
      <c r="T337" s="314"/>
      <c r="U337" s="314"/>
      <c r="V337" s="315"/>
    </row>
    <row r="338" spans="1:22">
      <c r="A338" s="310"/>
      <c r="B338" s="316"/>
      <c r="C338" s="317"/>
      <c r="D338" s="318"/>
      <c r="E338" s="318"/>
      <c r="F338" s="318"/>
      <c r="G338" s="318"/>
      <c r="H338" s="318"/>
      <c r="I338" s="318"/>
      <c r="J338" s="320"/>
      <c r="K338" s="320"/>
      <c r="L338" s="318"/>
      <c r="M338" s="318"/>
      <c r="N338" s="318"/>
      <c r="O338" s="320"/>
      <c r="P338" s="320"/>
      <c r="Q338" s="318"/>
      <c r="R338" s="320"/>
      <c r="S338" s="320"/>
      <c r="T338" s="320"/>
      <c r="U338" s="320"/>
      <c r="V338" s="315"/>
    </row>
    <row r="339" spans="1:22">
      <c r="A339" s="310"/>
      <c r="B339" s="55"/>
      <c r="C339" s="307"/>
      <c r="D339" s="308"/>
      <c r="E339" s="308"/>
      <c r="F339" s="308"/>
      <c r="G339" s="308"/>
      <c r="H339" s="308"/>
      <c r="I339" s="308"/>
      <c r="J339" s="309"/>
      <c r="K339" s="309"/>
      <c r="L339" s="308"/>
      <c r="M339" s="308"/>
      <c r="N339" s="308"/>
      <c r="O339" s="309"/>
      <c r="P339" s="309"/>
      <c r="Q339" s="308"/>
      <c r="R339" s="309"/>
      <c r="S339" s="309"/>
      <c r="T339" s="309"/>
      <c r="U339" s="309"/>
      <c r="V339" s="315"/>
    </row>
    <row r="340" spans="1:22">
      <c r="A340" s="310"/>
      <c r="B340" s="311"/>
      <c r="C340" s="312"/>
      <c r="D340" s="313"/>
      <c r="E340" s="313"/>
      <c r="F340" s="313"/>
      <c r="G340" s="313"/>
      <c r="H340" s="313"/>
      <c r="I340" s="313"/>
      <c r="J340" s="314"/>
      <c r="K340" s="314"/>
      <c r="L340" s="313"/>
      <c r="M340" s="313"/>
      <c r="N340" s="313"/>
      <c r="O340" s="314"/>
      <c r="P340" s="314"/>
      <c r="Q340" s="313"/>
      <c r="R340" s="314"/>
      <c r="S340" s="314"/>
      <c r="T340" s="314"/>
      <c r="U340" s="314"/>
      <c r="V340" s="315"/>
    </row>
    <row r="341" spans="1:22">
      <c r="A341" s="310"/>
      <c r="B341" s="316"/>
      <c r="C341" s="317"/>
      <c r="D341" s="318"/>
      <c r="E341" s="318"/>
      <c r="F341" s="318"/>
      <c r="G341" s="318"/>
      <c r="H341" s="318"/>
      <c r="I341" s="318"/>
      <c r="J341" s="320"/>
      <c r="K341" s="320"/>
      <c r="L341" s="318"/>
      <c r="M341" s="318"/>
      <c r="N341" s="318"/>
      <c r="O341" s="320"/>
      <c r="P341" s="320"/>
      <c r="Q341" s="318"/>
      <c r="R341" s="320"/>
      <c r="S341" s="320"/>
      <c r="T341" s="320"/>
      <c r="U341" s="320"/>
      <c r="V341" s="315"/>
    </row>
    <row r="342" spans="1:22">
      <c r="A342" s="310"/>
      <c r="B342" s="55"/>
      <c r="C342" s="307"/>
      <c r="D342" s="308"/>
      <c r="E342" s="308"/>
      <c r="F342" s="308"/>
      <c r="G342" s="308"/>
      <c r="H342" s="308"/>
      <c r="I342" s="308"/>
      <c r="J342" s="309"/>
      <c r="K342" s="309"/>
      <c r="L342" s="308"/>
      <c r="M342" s="308"/>
      <c r="N342" s="308"/>
      <c r="O342" s="309"/>
      <c r="P342" s="309"/>
      <c r="Q342" s="308"/>
      <c r="R342" s="309"/>
      <c r="S342" s="309"/>
      <c r="T342" s="309"/>
      <c r="U342" s="309"/>
      <c r="V342" s="315"/>
    </row>
    <row r="343" spans="1:22">
      <c r="A343" s="310"/>
      <c r="B343" s="311"/>
      <c r="C343" s="312"/>
      <c r="D343" s="313"/>
      <c r="E343" s="313"/>
      <c r="F343" s="313"/>
      <c r="G343" s="313"/>
      <c r="H343" s="313"/>
      <c r="I343" s="313"/>
      <c r="J343" s="314"/>
      <c r="K343" s="314"/>
      <c r="L343" s="313"/>
      <c r="M343" s="313"/>
      <c r="N343" s="313"/>
      <c r="O343" s="314"/>
      <c r="P343" s="314"/>
      <c r="Q343" s="313"/>
      <c r="R343" s="314"/>
      <c r="S343" s="314"/>
      <c r="T343" s="314"/>
      <c r="U343" s="314"/>
      <c r="V343" s="315"/>
    </row>
    <row r="344" spans="1:22">
      <c r="A344" s="310"/>
      <c r="B344" s="316"/>
      <c r="C344" s="317"/>
      <c r="D344" s="318"/>
      <c r="E344" s="318"/>
      <c r="F344" s="318"/>
      <c r="G344" s="318"/>
      <c r="H344" s="318"/>
      <c r="I344" s="318"/>
      <c r="J344" s="320"/>
      <c r="K344" s="320"/>
      <c r="L344" s="318"/>
      <c r="M344" s="318"/>
      <c r="N344" s="318"/>
      <c r="O344" s="320"/>
      <c r="P344" s="320"/>
      <c r="Q344" s="318"/>
      <c r="R344" s="320"/>
      <c r="S344" s="320"/>
      <c r="T344" s="320"/>
      <c r="U344" s="320"/>
      <c r="V344" s="315"/>
    </row>
    <row r="345" spans="1:22">
      <c r="A345" s="310"/>
      <c r="B345" s="55"/>
      <c r="C345" s="307"/>
      <c r="D345" s="308"/>
      <c r="E345" s="308"/>
      <c r="F345" s="308"/>
      <c r="G345" s="308"/>
      <c r="H345" s="308"/>
      <c r="I345" s="308"/>
      <c r="J345" s="309"/>
      <c r="K345" s="309"/>
      <c r="L345" s="308"/>
      <c r="M345" s="308"/>
      <c r="N345" s="308"/>
      <c r="O345" s="309"/>
      <c r="P345" s="309"/>
      <c r="Q345" s="308"/>
      <c r="R345" s="309"/>
      <c r="S345" s="309"/>
      <c r="T345" s="309"/>
      <c r="U345" s="309"/>
      <c r="V345" s="315"/>
    </row>
    <row r="346" spans="1:22">
      <c r="A346" s="310"/>
      <c r="B346" s="311"/>
      <c r="C346" s="312"/>
      <c r="D346" s="313"/>
      <c r="E346" s="313"/>
      <c r="F346" s="313"/>
      <c r="G346" s="313"/>
      <c r="H346" s="313"/>
      <c r="I346" s="313"/>
      <c r="J346" s="314"/>
      <c r="K346" s="314"/>
      <c r="L346" s="313"/>
      <c r="M346" s="313"/>
      <c r="N346" s="313"/>
      <c r="O346" s="314"/>
      <c r="P346" s="314"/>
      <c r="Q346" s="313"/>
      <c r="R346" s="314"/>
      <c r="S346" s="314"/>
      <c r="T346" s="314"/>
      <c r="U346" s="314"/>
      <c r="V346" s="315"/>
    </row>
    <row r="347" spans="1:22" ht="15" thickBot="1">
      <c r="A347" s="310"/>
      <c r="B347" s="322"/>
      <c r="C347" s="323"/>
      <c r="D347" s="324"/>
      <c r="E347" s="324"/>
      <c r="F347" s="324"/>
      <c r="G347" s="324"/>
      <c r="H347" s="324"/>
      <c r="I347" s="324"/>
      <c r="J347" s="325"/>
      <c r="K347" s="325"/>
      <c r="L347" s="324"/>
      <c r="M347" s="324"/>
      <c r="N347" s="324"/>
      <c r="O347" s="325"/>
      <c r="P347" s="325"/>
      <c r="Q347" s="324"/>
      <c r="R347" s="325"/>
      <c r="S347" s="325"/>
      <c r="T347" s="325"/>
      <c r="U347" s="325"/>
      <c r="V347" s="315"/>
    </row>
    <row r="348" spans="1:22" ht="15" thickTop="1">
      <c r="A348" s="310"/>
      <c r="B348" s="311"/>
      <c r="C348" s="312"/>
      <c r="D348" s="313"/>
      <c r="E348" s="313"/>
      <c r="F348" s="313"/>
      <c r="G348" s="313"/>
      <c r="H348" s="313"/>
      <c r="I348" s="313"/>
      <c r="J348" s="314"/>
      <c r="K348" s="314"/>
      <c r="L348" s="313"/>
      <c r="M348" s="313"/>
      <c r="N348" s="313"/>
      <c r="O348" s="314"/>
      <c r="P348" s="314"/>
      <c r="Q348" s="313"/>
      <c r="R348" s="314"/>
      <c r="S348" s="314"/>
      <c r="T348" s="314"/>
      <c r="U348" s="314"/>
      <c r="V348" s="315"/>
    </row>
    <row r="349" spans="1:22">
      <c r="A349" s="310"/>
      <c r="B349" s="311"/>
      <c r="C349" s="312"/>
      <c r="D349" s="313"/>
      <c r="E349" s="313"/>
      <c r="F349" s="313"/>
      <c r="G349" s="313"/>
      <c r="H349" s="313"/>
      <c r="I349" s="313"/>
      <c r="J349" s="314"/>
      <c r="K349" s="314"/>
      <c r="L349" s="313"/>
      <c r="M349" s="313"/>
      <c r="N349" s="313"/>
      <c r="O349" s="314"/>
      <c r="P349" s="314"/>
      <c r="Q349" s="313"/>
      <c r="R349" s="314"/>
      <c r="S349" s="314"/>
      <c r="T349" s="314"/>
      <c r="U349" s="314"/>
      <c r="V349" s="315"/>
    </row>
    <row r="350" spans="1:22">
      <c r="A350" s="310"/>
      <c r="B350" s="316"/>
      <c r="C350" s="317"/>
      <c r="D350" s="318"/>
      <c r="E350" s="318"/>
      <c r="F350" s="318"/>
      <c r="G350" s="318"/>
      <c r="H350" s="318"/>
      <c r="I350" s="318"/>
      <c r="J350" s="320"/>
      <c r="K350" s="320"/>
      <c r="L350" s="318"/>
      <c r="M350" s="318"/>
      <c r="N350" s="318"/>
      <c r="O350" s="320"/>
      <c r="P350" s="320"/>
      <c r="Q350" s="318"/>
      <c r="R350" s="320"/>
      <c r="S350" s="320"/>
      <c r="T350" s="320"/>
      <c r="U350" s="320"/>
      <c r="V350" s="315"/>
    </row>
    <row r="351" spans="1:22">
      <c r="A351" s="310"/>
      <c r="B351" s="55"/>
      <c r="C351" s="307"/>
      <c r="D351" s="308"/>
      <c r="E351" s="308"/>
      <c r="F351" s="308"/>
      <c r="G351" s="308"/>
      <c r="H351" s="308"/>
      <c r="I351" s="308"/>
      <c r="J351" s="309"/>
      <c r="K351" s="309"/>
      <c r="L351" s="308"/>
      <c r="M351" s="308"/>
      <c r="N351" s="308"/>
      <c r="O351" s="309"/>
      <c r="P351" s="309"/>
      <c r="Q351" s="308"/>
      <c r="R351" s="309"/>
      <c r="S351" s="309"/>
      <c r="T351" s="309"/>
      <c r="U351" s="309"/>
      <c r="V351" s="315"/>
    </row>
    <row r="352" spans="1:22">
      <c r="A352" s="310"/>
      <c r="B352" s="311"/>
      <c r="C352" s="312"/>
      <c r="D352" s="313"/>
      <c r="E352" s="313"/>
      <c r="F352" s="313"/>
      <c r="G352" s="313"/>
      <c r="H352" s="313"/>
      <c r="I352" s="313"/>
      <c r="J352" s="314"/>
      <c r="K352" s="314"/>
      <c r="L352" s="313"/>
      <c r="M352" s="313"/>
      <c r="N352" s="313"/>
      <c r="O352" s="314"/>
      <c r="P352" s="314"/>
      <c r="Q352" s="313"/>
      <c r="R352" s="314"/>
      <c r="S352" s="314"/>
      <c r="T352" s="314"/>
      <c r="U352" s="314"/>
      <c r="V352" s="315"/>
    </row>
    <row r="353" spans="1:22">
      <c r="A353" s="310"/>
      <c r="B353" s="316"/>
      <c r="C353" s="317"/>
      <c r="D353" s="318"/>
      <c r="E353" s="318"/>
      <c r="F353" s="318"/>
      <c r="G353" s="318"/>
      <c r="H353" s="318"/>
      <c r="I353" s="318"/>
      <c r="J353" s="320"/>
      <c r="K353" s="320"/>
      <c r="L353" s="318"/>
      <c r="M353" s="318"/>
      <c r="N353" s="318"/>
      <c r="O353" s="320"/>
      <c r="P353" s="320"/>
      <c r="Q353" s="318"/>
      <c r="R353" s="320"/>
      <c r="S353" s="320"/>
      <c r="T353" s="320"/>
      <c r="U353" s="320"/>
      <c r="V353" s="315"/>
    </row>
    <row r="354" spans="1:22">
      <c r="A354" s="310"/>
      <c r="B354" s="55"/>
      <c r="C354" s="307"/>
      <c r="D354" s="308"/>
      <c r="E354" s="308"/>
      <c r="F354" s="308"/>
      <c r="G354" s="308"/>
      <c r="H354" s="308"/>
      <c r="I354" s="308"/>
      <c r="J354" s="309"/>
      <c r="K354" s="309"/>
      <c r="L354" s="308"/>
      <c r="M354" s="308"/>
      <c r="N354" s="308"/>
      <c r="O354" s="309"/>
      <c r="P354" s="309"/>
      <c r="Q354" s="308"/>
      <c r="R354" s="309"/>
      <c r="S354" s="309"/>
      <c r="T354" s="309"/>
      <c r="U354" s="309"/>
      <c r="V354" s="315"/>
    </row>
    <row r="355" spans="1:22">
      <c r="A355" s="310"/>
      <c r="B355" s="311"/>
      <c r="C355" s="312"/>
      <c r="D355" s="313"/>
      <c r="E355" s="313"/>
      <c r="F355" s="313"/>
      <c r="G355" s="313"/>
      <c r="H355" s="313"/>
      <c r="I355" s="313"/>
      <c r="J355" s="314"/>
      <c r="K355" s="314"/>
      <c r="L355" s="313"/>
      <c r="M355" s="313"/>
      <c r="N355" s="313"/>
      <c r="O355" s="314"/>
      <c r="P355" s="314"/>
      <c r="Q355" s="313"/>
      <c r="R355" s="314"/>
      <c r="S355" s="314"/>
      <c r="T355" s="314"/>
      <c r="U355" s="314"/>
      <c r="V355" s="315"/>
    </row>
    <row r="356" spans="1:22">
      <c r="A356" s="310"/>
      <c r="B356" s="316"/>
      <c r="C356" s="317"/>
      <c r="D356" s="318"/>
      <c r="E356" s="318"/>
      <c r="F356" s="318"/>
      <c r="G356" s="318"/>
      <c r="H356" s="318"/>
      <c r="I356" s="318"/>
      <c r="J356" s="320"/>
      <c r="K356" s="320"/>
      <c r="L356" s="318"/>
      <c r="M356" s="318"/>
      <c r="N356" s="318"/>
      <c r="O356" s="320"/>
      <c r="P356" s="320"/>
      <c r="Q356" s="318"/>
      <c r="R356" s="320"/>
      <c r="S356" s="320"/>
      <c r="T356" s="320"/>
      <c r="U356" s="320"/>
      <c r="V356" s="315"/>
    </row>
    <row r="357" spans="1:22">
      <c r="A357" s="310"/>
      <c r="B357" s="55"/>
      <c r="C357" s="307"/>
      <c r="D357" s="308"/>
      <c r="E357" s="308"/>
      <c r="F357" s="308"/>
      <c r="G357" s="308"/>
      <c r="H357" s="308"/>
      <c r="I357" s="308"/>
      <c r="J357" s="309"/>
      <c r="K357" s="309"/>
      <c r="L357" s="308"/>
      <c r="M357" s="308"/>
      <c r="N357" s="308"/>
      <c r="O357" s="309"/>
      <c r="P357" s="309"/>
      <c r="Q357" s="308"/>
      <c r="R357" s="309"/>
      <c r="S357" s="309"/>
      <c r="T357" s="309"/>
      <c r="U357" s="309"/>
      <c r="V357" s="315"/>
    </row>
    <row r="358" spans="1:22">
      <c r="A358" s="310"/>
      <c r="B358" s="311"/>
      <c r="C358" s="312"/>
      <c r="D358" s="313"/>
      <c r="E358" s="313"/>
      <c r="F358" s="313"/>
      <c r="G358" s="313"/>
      <c r="H358" s="313"/>
      <c r="I358" s="313"/>
      <c r="J358" s="314"/>
      <c r="K358" s="314"/>
      <c r="L358" s="313"/>
      <c r="M358" s="313"/>
      <c r="N358" s="313"/>
      <c r="O358" s="314"/>
      <c r="P358" s="314"/>
      <c r="Q358" s="313"/>
      <c r="R358" s="314"/>
      <c r="S358" s="314"/>
      <c r="T358" s="314"/>
      <c r="U358" s="314"/>
      <c r="V358" s="315"/>
    </row>
    <row r="359" spans="1:22">
      <c r="A359" s="310"/>
      <c r="B359" s="316"/>
      <c r="C359" s="317"/>
      <c r="D359" s="318"/>
      <c r="E359" s="318"/>
      <c r="F359" s="318"/>
      <c r="G359" s="318"/>
      <c r="H359" s="318"/>
      <c r="I359" s="318"/>
      <c r="J359" s="320"/>
      <c r="K359" s="320"/>
      <c r="L359" s="318"/>
      <c r="M359" s="318"/>
      <c r="N359" s="318"/>
      <c r="O359" s="320"/>
      <c r="P359" s="320"/>
      <c r="Q359" s="318"/>
      <c r="R359" s="320"/>
      <c r="S359" s="320"/>
      <c r="T359" s="320"/>
      <c r="U359" s="320"/>
      <c r="V359" s="315"/>
    </row>
    <row r="360" spans="1:22">
      <c r="A360" s="310"/>
      <c r="B360" s="55"/>
      <c r="C360" s="307"/>
      <c r="D360" s="308"/>
      <c r="E360" s="308"/>
      <c r="F360" s="308"/>
      <c r="G360" s="308"/>
      <c r="H360" s="308"/>
      <c r="I360" s="308"/>
      <c r="J360" s="309"/>
      <c r="K360" s="309"/>
      <c r="L360" s="308"/>
      <c r="M360" s="308"/>
      <c r="N360" s="308"/>
      <c r="O360" s="309"/>
      <c r="P360" s="309"/>
      <c r="Q360" s="308"/>
      <c r="R360" s="309"/>
      <c r="S360" s="309"/>
      <c r="T360" s="309"/>
      <c r="U360" s="309"/>
      <c r="V360" s="315"/>
    </row>
    <row r="361" spans="1:22">
      <c r="A361" s="310"/>
      <c r="B361" s="311"/>
      <c r="C361" s="312"/>
      <c r="D361" s="313"/>
      <c r="E361" s="313"/>
      <c r="F361" s="313"/>
      <c r="G361" s="313"/>
      <c r="H361" s="313"/>
      <c r="I361" s="313"/>
      <c r="J361" s="314"/>
      <c r="K361" s="314"/>
      <c r="L361" s="313"/>
      <c r="M361" s="313"/>
      <c r="N361" s="313"/>
      <c r="O361" s="314"/>
      <c r="P361" s="314"/>
      <c r="Q361" s="313"/>
      <c r="R361" s="314"/>
      <c r="S361" s="314"/>
      <c r="T361" s="314"/>
      <c r="U361" s="314"/>
      <c r="V361" s="315"/>
    </row>
    <row r="362" spans="1:22">
      <c r="A362" s="310"/>
      <c r="B362" s="316"/>
      <c r="C362" s="317"/>
      <c r="D362" s="318"/>
      <c r="E362" s="318"/>
      <c r="F362" s="318"/>
      <c r="G362" s="318"/>
      <c r="H362" s="318"/>
      <c r="I362" s="318"/>
      <c r="J362" s="320"/>
      <c r="K362" s="320"/>
      <c r="L362" s="318"/>
      <c r="M362" s="318"/>
      <c r="N362" s="318"/>
      <c r="O362" s="320"/>
      <c r="P362" s="320"/>
      <c r="Q362" s="318"/>
      <c r="R362" s="320"/>
      <c r="S362" s="320"/>
      <c r="T362" s="320"/>
      <c r="U362" s="320"/>
      <c r="V362" s="315"/>
    </row>
    <row r="363" spans="1:22">
      <c r="A363" s="310"/>
      <c r="B363" s="55"/>
      <c r="C363" s="307"/>
      <c r="D363" s="308"/>
      <c r="E363" s="308"/>
      <c r="F363" s="308"/>
      <c r="G363" s="308"/>
      <c r="H363" s="308"/>
      <c r="I363" s="308"/>
      <c r="J363" s="309"/>
      <c r="K363" s="309"/>
      <c r="L363" s="308"/>
      <c r="M363" s="308"/>
      <c r="N363" s="308"/>
      <c r="O363" s="309"/>
      <c r="P363" s="309"/>
      <c r="Q363" s="308"/>
      <c r="R363" s="309"/>
      <c r="S363" s="309"/>
      <c r="T363" s="309"/>
      <c r="U363" s="309"/>
      <c r="V363" s="315"/>
    </row>
    <row r="364" spans="1:22">
      <c r="A364" s="310"/>
      <c r="B364" s="311"/>
      <c r="C364" s="312"/>
      <c r="D364" s="313"/>
      <c r="E364" s="313"/>
      <c r="F364" s="313"/>
      <c r="G364" s="313"/>
      <c r="H364" s="313"/>
      <c r="I364" s="313"/>
      <c r="J364" s="314"/>
      <c r="K364" s="314"/>
      <c r="L364" s="313"/>
      <c r="M364" s="313"/>
      <c r="N364" s="313"/>
      <c r="O364" s="314"/>
      <c r="P364" s="314"/>
      <c r="Q364" s="313"/>
      <c r="R364" s="314"/>
      <c r="S364" s="314"/>
      <c r="T364" s="314"/>
      <c r="U364" s="314"/>
      <c r="V364" s="315"/>
    </row>
    <row r="365" spans="1:22" ht="15" thickBot="1">
      <c r="A365" s="326"/>
      <c r="B365" s="327"/>
      <c r="C365" s="328"/>
      <c r="D365" s="329"/>
      <c r="E365" s="329"/>
      <c r="F365" s="329"/>
      <c r="G365" s="329"/>
      <c r="H365" s="329"/>
      <c r="I365" s="329"/>
      <c r="J365" s="330"/>
      <c r="K365" s="330"/>
      <c r="L365" s="329"/>
      <c r="M365" s="329"/>
      <c r="N365" s="329"/>
      <c r="O365" s="330"/>
      <c r="P365" s="330"/>
      <c r="Q365" s="329"/>
      <c r="R365" s="330"/>
      <c r="S365" s="330"/>
      <c r="T365" s="330"/>
      <c r="U365" s="330"/>
      <c r="V365" s="315"/>
    </row>
    <row r="366" spans="1:22">
      <c r="A366" s="306"/>
      <c r="B366" s="55"/>
      <c r="C366" s="307"/>
      <c r="D366" s="308"/>
      <c r="E366" s="308"/>
      <c r="F366" s="308"/>
      <c r="G366" s="308"/>
      <c r="H366" s="308"/>
      <c r="I366" s="308"/>
      <c r="J366" s="309"/>
      <c r="K366" s="309"/>
      <c r="L366" s="308"/>
      <c r="M366" s="308"/>
      <c r="N366" s="308"/>
      <c r="O366" s="309"/>
      <c r="P366" s="309"/>
      <c r="Q366" s="308"/>
      <c r="R366" s="309"/>
      <c r="S366" s="309"/>
      <c r="T366" s="309"/>
      <c r="U366" s="309"/>
      <c r="V366" s="315"/>
    </row>
    <row r="367" spans="1:22">
      <c r="A367" s="310"/>
      <c r="B367" s="311"/>
      <c r="C367" s="312"/>
      <c r="D367" s="313"/>
      <c r="E367" s="313"/>
      <c r="F367" s="313"/>
      <c r="G367" s="313"/>
      <c r="H367" s="313"/>
      <c r="I367" s="313"/>
      <c r="J367" s="314"/>
      <c r="K367" s="314"/>
      <c r="L367" s="313"/>
      <c r="M367" s="313"/>
      <c r="N367" s="313"/>
      <c r="O367" s="314"/>
      <c r="P367" s="314"/>
      <c r="Q367" s="313"/>
      <c r="R367" s="314"/>
      <c r="S367" s="314"/>
      <c r="T367" s="314"/>
      <c r="U367" s="314"/>
      <c r="V367" s="315"/>
    </row>
    <row r="368" spans="1:22">
      <c r="A368" s="310"/>
      <c r="B368" s="316"/>
      <c r="C368" s="317"/>
      <c r="D368" s="318"/>
      <c r="E368" s="318"/>
      <c r="F368" s="318"/>
      <c r="G368" s="318"/>
      <c r="H368" s="318"/>
      <c r="I368" s="318"/>
      <c r="J368" s="320"/>
      <c r="K368" s="320"/>
      <c r="L368" s="318"/>
      <c r="M368" s="318"/>
      <c r="N368" s="318"/>
      <c r="O368" s="320"/>
      <c r="P368" s="320"/>
      <c r="Q368" s="318"/>
      <c r="R368" s="320"/>
      <c r="S368" s="320"/>
      <c r="T368" s="320"/>
      <c r="U368" s="320"/>
      <c r="V368" s="315"/>
    </row>
    <row r="369" spans="1:22">
      <c r="A369" s="310"/>
      <c r="B369" s="55"/>
      <c r="C369" s="307"/>
      <c r="D369" s="308"/>
      <c r="E369" s="308"/>
      <c r="F369" s="308"/>
      <c r="G369" s="308"/>
      <c r="H369" s="308"/>
      <c r="I369" s="308"/>
      <c r="J369" s="309"/>
      <c r="K369" s="309"/>
      <c r="L369" s="308"/>
      <c r="M369" s="308"/>
      <c r="N369" s="308"/>
      <c r="O369" s="309"/>
      <c r="P369" s="309"/>
      <c r="Q369" s="308"/>
      <c r="R369" s="309"/>
      <c r="S369" s="309"/>
      <c r="T369" s="309"/>
      <c r="U369" s="309"/>
      <c r="V369" s="315"/>
    </row>
    <row r="370" spans="1:22">
      <c r="A370" s="310"/>
      <c r="B370" s="311"/>
      <c r="C370" s="312"/>
      <c r="D370" s="313"/>
      <c r="E370" s="313"/>
      <c r="F370" s="313"/>
      <c r="G370" s="313"/>
      <c r="H370" s="313"/>
      <c r="I370" s="313"/>
      <c r="J370" s="314"/>
      <c r="K370" s="314"/>
      <c r="L370" s="313"/>
      <c r="M370" s="313"/>
      <c r="N370" s="313"/>
      <c r="O370" s="314"/>
      <c r="P370" s="314"/>
      <c r="Q370" s="313"/>
      <c r="R370" s="314"/>
      <c r="S370" s="314"/>
      <c r="T370" s="314"/>
      <c r="U370" s="314"/>
      <c r="V370" s="315"/>
    </row>
    <row r="371" spans="1:22">
      <c r="A371" s="310"/>
      <c r="B371" s="316"/>
      <c r="C371" s="317"/>
      <c r="D371" s="318"/>
      <c r="E371" s="318"/>
      <c r="F371" s="318"/>
      <c r="G371" s="318"/>
      <c r="H371" s="318"/>
      <c r="I371" s="318"/>
      <c r="J371" s="320"/>
      <c r="K371" s="320"/>
      <c r="L371" s="318"/>
      <c r="M371" s="318"/>
      <c r="N371" s="318"/>
      <c r="O371" s="320"/>
      <c r="P371" s="320"/>
      <c r="Q371" s="318"/>
      <c r="R371" s="320"/>
      <c r="S371" s="320"/>
      <c r="T371" s="320"/>
      <c r="U371" s="320"/>
      <c r="V371" s="315"/>
    </row>
    <row r="372" spans="1:22">
      <c r="A372" s="310"/>
      <c r="B372" s="55"/>
      <c r="C372" s="307"/>
      <c r="D372" s="308"/>
      <c r="E372" s="308"/>
      <c r="F372" s="308"/>
      <c r="G372" s="308"/>
      <c r="H372" s="308"/>
      <c r="I372" s="308"/>
      <c r="J372" s="309"/>
      <c r="K372" s="309"/>
      <c r="L372" s="308"/>
      <c r="M372" s="308"/>
      <c r="N372" s="308"/>
      <c r="O372" s="309"/>
      <c r="P372" s="309"/>
      <c r="Q372" s="308"/>
      <c r="R372" s="309"/>
      <c r="S372" s="309"/>
      <c r="T372" s="309"/>
      <c r="U372" s="309"/>
      <c r="V372" s="315"/>
    </row>
    <row r="373" spans="1:22">
      <c r="A373" s="310"/>
      <c r="B373" s="311"/>
      <c r="C373" s="312"/>
      <c r="D373" s="313"/>
      <c r="E373" s="313"/>
      <c r="F373" s="313"/>
      <c r="G373" s="313"/>
      <c r="H373" s="313"/>
      <c r="I373" s="313"/>
      <c r="J373" s="314"/>
      <c r="K373" s="314"/>
      <c r="L373" s="313"/>
      <c r="M373" s="313"/>
      <c r="N373" s="313"/>
      <c r="O373" s="314"/>
      <c r="P373" s="314"/>
      <c r="Q373" s="313"/>
      <c r="R373" s="314"/>
      <c r="S373" s="314"/>
      <c r="T373" s="314"/>
      <c r="U373" s="314"/>
      <c r="V373" s="315"/>
    </row>
    <row r="374" spans="1:22">
      <c r="A374" s="310"/>
      <c r="B374" s="316"/>
      <c r="C374" s="317"/>
      <c r="D374" s="318"/>
      <c r="E374" s="318"/>
      <c r="F374" s="318"/>
      <c r="G374" s="318"/>
      <c r="H374" s="318"/>
      <c r="I374" s="318"/>
      <c r="J374" s="320"/>
      <c r="K374" s="320"/>
      <c r="L374" s="318"/>
      <c r="M374" s="318"/>
      <c r="N374" s="318"/>
      <c r="O374" s="320"/>
      <c r="P374" s="320"/>
      <c r="Q374" s="318"/>
      <c r="R374" s="320"/>
      <c r="S374" s="320"/>
      <c r="T374" s="320"/>
      <c r="U374" s="320"/>
      <c r="V374" s="315"/>
    </row>
    <row r="375" spans="1:22">
      <c r="A375" s="310"/>
      <c r="B375" s="55"/>
      <c r="C375" s="307"/>
      <c r="D375" s="308"/>
      <c r="E375" s="308"/>
      <c r="F375" s="308"/>
      <c r="G375" s="308"/>
      <c r="H375" s="308"/>
      <c r="I375" s="308"/>
      <c r="J375" s="309"/>
      <c r="K375" s="309"/>
      <c r="L375" s="308"/>
      <c r="M375" s="308"/>
      <c r="N375" s="308"/>
      <c r="O375" s="309"/>
      <c r="P375" s="309"/>
      <c r="Q375" s="308"/>
      <c r="R375" s="309"/>
      <c r="S375" s="309"/>
      <c r="T375" s="309"/>
      <c r="U375" s="309"/>
      <c r="V375" s="315"/>
    </row>
    <row r="376" spans="1:22">
      <c r="A376" s="310"/>
      <c r="B376" s="311"/>
      <c r="C376" s="312"/>
      <c r="D376" s="313"/>
      <c r="E376" s="313"/>
      <c r="F376" s="313"/>
      <c r="G376" s="313"/>
      <c r="H376" s="313"/>
      <c r="I376" s="313"/>
      <c r="J376" s="314"/>
      <c r="K376" s="314"/>
      <c r="L376" s="313"/>
      <c r="M376" s="313"/>
      <c r="N376" s="313"/>
      <c r="O376" s="314"/>
      <c r="P376" s="314"/>
      <c r="Q376" s="313"/>
      <c r="R376" s="314"/>
      <c r="S376" s="314"/>
      <c r="T376" s="314"/>
      <c r="U376" s="314"/>
      <c r="V376" s="315"/>
    </row>
    <row r="377" spans="1:22">
      <c r="A377" s="310"/>
      <c r="B377" s="316"/>
      <c r="C377" s="317"/>
      <c r="D377" s="318"/>
      <c r="E377" s="318"/>
      <c r="F377" s="318"/>
      <c r="G377" s="318"/>
      <c r="H377" s="318"/>
      <c r="I377" s="318"/>
      <c r="J377" s="320"/>
      <c r="K377" s="320"/>
      <c r="L377" s="318"/>
      <c r="M377" s="318"/>
      <c r="N377" s="318"/>
      <c r="O377" s="320"/>
      <c r="P377" s="320"/>
      <c r="Q377" s="318"/>
      <c r="R377" s="320"/>
      <c r="S377" s="320"/>
      <c r="T377" s="320"/>
      <c r="U377" s="320"/>
      <c r="V377" s="315"/>
    </row>
    <row r="378" spans="1:22">
      <c r="A378" s="310"/>
      <c r="B378" s="55"/>
      <c r="C378" s="307"/>
      <c r="D378" s="308"/>
      <c r="E378" s="308"/>
      <c r="F378" s="308"/>
      <c r="G378" s="308"/>
      <c r="H378" s="308"/>
      <c r="I378" s="308"/>
      <c r="J378" s="309"/>
      <c r="K378" s="309"/>
      <c r="L378" s="308"/>
      <c r="M378" s="308"/>
      <c r="N378" s="308"/>
      <c r="O378" s="309"/>
      <c r="P378" s="309"/>
      <c r="Q378" s="308"/>
      <c r="R378" s="309"/>
      <c r="S378" s="309"/>
      <c r="T378" s="309"/>
      <c r="U378" s="309"/>
      <c r="V378" s="315"/>
    </row>
    <row r="379" spans="1:22">
      <c r="A379" s="310"/>
      <c r="B379" s="311"/>
      <c r="C379" s="312"/>
      <c r="D379" s="313"/>
      <c r="E379" s="313"/>
      <c r="F379" s="313"/>
      <c r="G379" s="313"/>
      <c r="H379" s="313"/>
      <c r="I379" s="313"/>
      <c r="J379" s="314"/>
      <c r="K379" s="314"/>
      <c r="L379" s="313"/>
      <c r="M379" s="313"/>
      <c r="N379" s="313"/>
      <c r="O379" s="314"/>
      <c r="P379" s="314"/>
      <c r="Q379" s="313"/>
      <c r="R379" s="314"/>
      <c r="S379" s="314"/>
      <c r="T379" s="314"/>
      <c r="U379" s="314"/>
      <c r="V379" s="315"/>
    </row>
    <row r="380" spans="1:22">
      <c r="A380" s="310"/>
      <c r="B380" s="316"/>
      <c r="C380" s="317"/>
      <c r="D380" s="318"/>
      <c r="E380" s="318"/>
      <c r="F380" s="318"/>
      <c r="G380" s="318"/>
      <c r="H380" s="318"/>
      <c r="I380" s="318"/>
      <c r="J380" s="320"/>
      <c r="K380" s="320"/>
      <c r="L380" s="318"/>
      <c r="M380" s="318"/>
      <c r="N380" s="318"/>
      <c r="O380" s="320"/>
      <c r="P380" s="320"/>
      <c r="Q380" s="318"/>
      <c r="R380" s="320"/>
      <c r="S380" s="320"/>
      <c r="T380" s="320"/>
      <c r="U380" s="320"/>
      <c r="V380" s="315"/>
    </row>
    <row r="381" spans="1:22">
      <c r="A381" s="310"/>
      <c r="B381" s="55"/>
      <c r="C381" s="307"/>
      <c r="D381" s="308"/>
      <c r="E381" s="308"/>
      <c r="F381" s="308"/>
      <c r="G381" s="308"/>
      <c r="H381" s="308"/>
      <c r="I381" s="308"/>
      <c r="J381" s="309"/>
      <c r="K381" s="309"/>
      <c r="L381" s="308"/>
      <c r="M381" s="308"/>
      <c r="N381" s="308"/>
      <c r="O381" s="309"/>
      <c r="P381" s="309"/>
      <c r="Q381" s="308"/>
      <c r="R381" s="309"/>
      <c r="S381" s="309"/>
      <c r="T381" s="309"/>
      <c r="U381" s="309"/>
      <c r="V381" s="315"/>
    </row>
    <row r="382" spans="1:22">
      <c r="A382" s="310"/>
      <c r="B382" s="311"/>
      <c r="C382" s="312"/>
      <c r="D382" s="313"/>
      <c r="E382" s="313"/>
      <c r="F382" s="313"/>
      <c r="G382" s="313"/>
      <c r="H382" s="313"/>
      <c r="I382" s="313"/>
      <c r="J382" s="314"/>
      <c r="K382" s="314"/>
      <c r="L382" s="313"/>
      <c r="M382" s="313"/>
      <c r="N382" s="313"/>
      <c r="O382" s="314"/>
      <c r="P382" s="314"/>
      <c r="Q382" s="313"/>
      <c r="R382" s="314"/>
      <c r="S382" s="314"/>
      <c r="T382" s="314"/>
      <c r="U382" s="314"/>
      <c r="V382" s="315"/>
    </row>
    <row r="383" spans="1:22" ht="15" thickBot="1">
      <c r="A383" s="310"/>
      <c r="B383" s="322"/>
      <c r="C383" s="323"/>
      <c r="D383" s="324"/>
      <c r="E383" s="324"/>
      <c r="F383" s="324"/>
      <c r="G383" s="324"/>
      <c r="H383" s="324"/>
      <c r="I383" s="324"/>
      <c r="J383" s="325"/>
      <c r="K383" s="325"/>
      <c r="L383" s="324"/>
      <c r="M383" s="324"/>
      <c r="N383" s="324"/>
      <c r="O383" s="325"/>
      <c r="P383" s="325"/>
      <c r="Q383" s="324"/>
      <c r="R383" s="325"/>
      <c r="S383" s="325"/>
      <c r="T383" s="325"/>
      <c r="U383" s="325"/>
      <c r="V383" s="315"/>
    </row>
    <row r="384" spans="1:22" ht="15" thickTop="1">
      <c r="A384" s="310"/>
      <c r="B384" s="311"/>
      <c r="C384" s="312"/>
      <c r="D384" s="313"/>
      <c r="E384" s="313"/>
      <c r="F384" s="313"/>
      <c r="G384" s="313"/>
      <c r="H384" s="313"/>
      <c r="I384" s="313"/>
      <c r="J384" s="314"/>
      <c r="K384" s="314"/>
      <c r="L384" s="313"/>
      <c r="M384" s="313"/>
      <c r="N384" s="313"/>
      <c r="O384" s="314"/>
      <c r="P384" s="314"/>
      <c r="Q384" s="313"/>
      <c r="R384" s="314"/>
      <c r="S384" s="314"/>
      <c r="T384" s="314"/>
      <c r="U384" s="314"/>
      <c r="V384" s="315"/>
    </row>
    <row r="385" spans="1:22">
      <c r="A385" s="310"/>
      <c r="B385" s="311"/>
      <c r="C385" s="312"/>
      <c r="D385" s="313"/>
      <c r="E385" s="313"/>
      <c r="F385" s="313"/>
      <c r="G385" s="313"/>
      <c r="H385" s="313"/>
      <c r="I385" s="313"/>
      <c r="J385" s="314"/>
      <c r="K385" s="314"/>
      <c r="L385" s="313"/>
      <c r="M385" s="313"/>
      <c r="N385" s="313"/>
      <c r="O385" s="314"/>
      <c r="P385" s="314"/>
      <c r="Q385" s="313"/>
      <c r="R385" s="314"/>
      <c r="S385" s="314"/>
      <c r="T385" s="314"/>
      <c r="U385" s="314"/>
      <c r="V385" s="315"/>
    </row>
    <row r="386" spans="1:22">
      <c r="A386" s="310"/>
      <c r="B386" s="316"/>
      <c r="C386" s="317"/>
      <c r="D386" s="318"/>
      <c r="E386" s="318"/>
      <c r="F386" s="318"/>
      <c r="G386" s="318"/>
      <c r="H386" s="318"/>
      <c r="I386" s="318"/>
      <c r="J386" s="320"/>
      <c r="K386" s="320"/>
      <c r="L386" s="318"/>
      <c r="M386" s="318"/>
      <c r="N386" s="318"/>
      <c r="O386" s="320"/>
      <c r="P386" s="320"/>
      <c r="Q386" s="318"/>
      <c r="R386" s="320"/>
      <c r="S386" s="320"/>
      <c r="T386" s="320"/>
      <c r="U386" s="320"/>
      <c r="V386" s="315"/>
    </row>
    <row r="387" spans="1:22">
      <c r="A387" s="310"/>
      <c r="B387" s="55"/>
      <c r="C387" s="307"/>
      <c r="D387" s="308"/>
      <c r="E387" s="308"/>
      <c r="F387" s="308"/>
      <c r="G387" s="308"/>
      <c r="H387" s="308"/>
      <c r="I387" s="308"/>
      <c r="J387" s="309"/>
      <c r="K387" s="309"/>
      <c r="L387" s="308"/>
      <c r="M387" s="308"/>
      <c r="N387" s="308"/>
      <c r="O387" s="309"/>
      <c r="P387" s="309"/>
      <c r="Q387" s="308"/>
      <c r="R387" s="309"/>
      <c r="S387" s="309"/>
      <c r="T387" s="309"/>
      <c r="U387" s="309"/>
      <c r="V387" s="315"/>
    </row>
    <row r="388" spans="1:22">
      <c r="A388" s="310"/>
      <c r="B388" s="311"/>
      <c r="C388" s="312"/>
      <c r="D388" s="313"/>
      <c r="E388" s="313"/>
      <c r="F388" s="313"/>
      <c r="G388" s="313"/>
      <c r="H388" s="313"/>
      <c r="I388" s="313"/>
      <c r="J388" s="314"/>
      <c r="K388" s="314"/>
      <c r="L388" s="313"/>
      <c r="M388" s="313"/>
      <c r="N388" s="313"/>
      <c r="O388" s="314"/>
      <c r="P388" s="314"/>
      <c r="Q388" s="313"/>
      <c r="R388" s="314"/>
      <c r="S388" s="314"/>
      <c r="T388" s="314"/>
      <c r="U388" s="314"/>
      <c r="V388" s="315"/>
    </row>
    <row r="389" spans="1:22">
      <c r="A389" s="310"/>
      <c r="B389" s="316"/>
      <c r="C389" s="317"/>
      <c r="D389" s="318"/>
      <c r="E389" s="318"/>
      <c r="F389" s="318"/>
      <c r="G389" s="318"/>
      <c r="H389" s="318"/>
      <c r="I389" s="318"/>
      <c r="J389" s="320"/>
      <c r="K389" s="320"/>
      <c r="L389" s="318"/>
      <c r="M389" s="318"/>
      <c r="N389" s="318"/>
      <c r="O389" s="320"/>
      <c r="P389" s="320"/>
      <c r="Q389" s="318"/>
      <c r="R389" s="320"/>
      <c r="S389" s="320"/>
      <c r="T389" s="320"/>
      <c r="U389" s="320"/>
      <c r="V389" s="315"/>
    </row>
    <row r="390" spans="1:22">
      <c r="A390" s="310"/>
      <c r="B390" s="55"/>
      <c r="C390" s="307"/>
      <c r="D390" s="308"/>
      <c r="E390" s="308"/>
      <c r="F390" s="308"/>
      <c r="G390" s="308"/>
      <c r="H390" s="308"/>
      <c r="I390" s="308"/>
      <c r="J390" s="309"/>
      <c r="K390" s="309"/>
      <c r="L390" s="308"/>
      <c r="M390" s="308"/>
      <c r="N390" s="308"/>
      <c r="O390" s="309"/>
      <c r="P390" s="309"/>
      <c r="Q390" s="308"/>
      <c r="R390" s="309"/>
      <c r="S390" s="309"/>
      <c r="T390" s="309"/>
      <c r="U390" s="309"/>
      <c r="V390" s="315"/>
    </row>
    <row r="391" spans="1:22">
      <c r="A391" s="310"/>
      <c r="B391" s="311"/>
      <c r="C391" s="312"/>
      <c r="D391" s="313"/>
      <c r="E391" s="313"/>
      <c r="F391" s="313"/>
      <c r="G391" s="313"/>
      <c r="H391" s="313"/>
      <c r="I391" s="313"/>
      <c r="J391" s="314"/>
      <c r="K391" s="314"/>
      <c r="L391" s="313"/>
      <c r="M391" s="313"/>
      <c r="N391" s="313"/>
      <c r="O391" s="314"/>
      <c r="P391" s="314"/>
      <c r="Q391" s="313"/>
      <c r="R391" s="314"/>
      <c r="S391" s="314"/>
      <c r="T391" s="314"/>
      <c r="U391" s="314"/>
      <c r="V391" s="315"/>
    </row>
    <row r="392" spans="1:22">
      <c r="A392" s="310"/>
      <c r="B392" s="316"/>
      <c r="C392" s="317"/>
      <c r="D392" s="318"/>
      <c r="E392" s="318"/>
      <c r="F392" s="318"/>
      <c r="G392" s="318"/>
      <c r="H392" s="318"/>
      <c r="I392" s="318"/>
      <c r="J392" s="320"/>
      <c r="K392" s="320"/>
      <c r="L392" s="318"/>
      <c r="M392" s="318"/>
      <c r="N392" s="318"/>
      <c r="O392" s="320"/>
      <c r="P392" s="320"/>
      <c r="Q392" s="318"/>
      <c r="R392" s="320"/>
      <c r="S392" s="320"/>
      <c r="T392" s="320"/>
      <c r="U392" s="320"/>
      <c r="V392" s="315"/>
    </row>
    <row r="393" spans="1:22">
      <c r="A393" s="310"/>
      <c r="B393" s="55"/>
      <c r="C393" s="307"/>
      <c r="D393" s="308"/>
      <c r="E393" s="308"/>
      <c r="F393" s="308"/>
      <c r="G393" s="308"/>
      <c r="H393" s="308"/>
      <c r="I393" s="308"/>
      <c r="J393" s="309"/>
      <c r="K393" s="309"/>
      <c r="L393" s="308"/>
      <c r="M393" s="308"/>
      <c r="N393" s="308"/>
      <c r="O393" s="309"/>
      <c r="P393" s="309"/>
      <c r="Q393" s="308"/>
      <c r="R393" s="309"/>
      <c r="S393" s="309"/>
      <c r="T393" s="309"/>
      <c r="U393" s="309"/>
      <c r="V393" s="315"/>
    </row>
    <row r="394" spans="1:22">
      <c r="A394" s="310"/>
      <c r="B394" s="311"/>
      <c r="C394" s="312"/>
      <c r="D394" s="313"/>
      <c r="E394" s="313"/>
      <c r="F394" s="313"/>
      <c r="G394" s="313"/>
      <c r="H394" s="313"/>
      <c r="I394" s="313"/>
      <c r="J394" s="314"/>
      <c r="K394" s="314"/>
      <c r="L394" s="313"/>
      <c r="M394" s="313"/>
      <c r="N394" s="313"/>
      <c r="O394" s="314"/>
      <c r="P394" s="314"/>
      <c r="Q394" s="313"/>
      <c r="R394" s="314"/>
      <c r="S394" s="314"/>
      <c r="T394" s="314"/>
      <c r="U394" s="314"/>
      <c r="V394" s="315"/>
    </row>
    <row r="395" spans="1:22">
      <c r="A395" s="310"/>
      <c r="B395" s="316"/>
      <c r="C395" s="317"/>
      <c r="D395" s="318"/>
      <c r="E395" s="318"/>
      <c r="F395" s="318"/>
      <c r="G395" s="318"/>
      <c r="H395" s="318"/>
      <c r="I395" s="318"/>
      <c r="J395" s="320"/>
      <c r="K395" s="320"/>
      <c r="L395" s="318"/>
      <c r="M395" s="318"/>
      <c r="N395" s="318"/>
      <c r="O395" s="320"/>
      <c r="P395" s="320"/>
      <c r="Q395" s="318"/>
      <c r="R395" s="320"/>
      <c r="S395" s="320"/>
      <c r="T395" s="320"/>
      <c r="U395" s="320"/>
      <c r="V395" s="315"/>
    </row>
    <row r="396" spans="1:22">
      <c r="A396" s="310"/>
      <c r="B396" s="55"/>
      <c r="C396" s="307"/>
      <c r="D396" s="308"/>
      <c r="E396" s="308"/>
      <c r="F396" s="308"/>
      <c r="G396" s="308"/>
      <c r="H396" s="308"/>
      <c r="I396" s="308"/>
      <c r="J396" s="309"/>
      <c r="K396" s="309"/>
      <c r="L396" s="308"/>
      <c r="M396" s="308"/>
      <c r="N396" s="308"/>
      <c r="O396" s="309"/>
      <c r="P396" s="309"/>
      <c r="Q396" s="308"/>
      <c r="R396" s="309"/>
      <c r="S396" s="309"/>
      <c r="T396" s="309"/>
      <c r="U396" s="309"/>
      <c r="V396" s="315"/>
    </row>
    <row r="397" spans="1:22">
      <c r="A397" s="310"/>
      <c r="B397" s="311"/>
      <c r="C397" s="312"/>
      <c r="D397" s="313"/>
      <c r="E397" s="313"/>
      <c r="F397" s="313"/>
      <c r="G397" s="313"/>
      <c r="H397" s="313"/>
      <c r="I397" s="313"/>
      <c r="J397" s="314"/>
      <c r="K397" s="314"/>
      <c r="L397" s="313"/>
      <c r="M397" s="313"/>
      <c r="N397" s="313"/>
      <c r="O397" s="314"/>
      <c r="P397" s="314"/>
      <c r="Q397" s="313"/>
      <c r="R397" s="314"/>
      <c r="S397" s="314"/>
      <c r="T397" s="314"/>
      <c r="U397" s="314"/>
      <c r="V397" s="315"/>
    </row>
    <row r="398" spans="1:22">
      <c r="A398" s="310"/>
      <c r="B398" s="316"/>
      <c r="C398" s="317"/>
      <c r="D398" s="318"/>
      <c r="E398" s="318"/>
      <c r="F398" s="318"/>
      <c r="G398" s="318"/>
      <c r="H398" s="318"/>
      <c r="I398" s="318"/>
      <c r="J398" s="320"/>
      <c r="K398" s="320"/>
      <c r="L398" s="318"/>
      <c r="M398" s="318"/>
      <c r="N398" s="318"/>
      <c r="O398" s="320"/>
      <c r="P398" s="320"/>
      <c r="Q398" s="318"/>
      <c r="R398" s="320"/>
      <c r="S398" s="320"/>
      <c r="T398" s="320"/>
      <c r="U398" s="320"/>
      <c r="V398" s="315"/>
    </row>
    <row r="399" spans="1:22">
      <c r="A399" s="310"/>
      <c r="B399" s="55"/>
      <c r="C399" s="307"/>
      <c r="D399" s="308"/>
      <c r="E399" s="308"/>
      <c r="F399" s="308"/>
      <c r="G399" s="308"/>
      <c r="H399" s="308"/>
      <c r="I399" s="308"/>
      <c r="J399" s="309"/>
      <c r="K399" s="309"/>
      <c r="L399" s="308"/>
      <c r="M399" s="308"/>
      <c r="N399" s="308"/>
      <c r="O399" s="309"/>
      <c r="P399" s="309"/>
      <c r="Q399" s="308"/>
      <c r="R399" s="309"/>
      <c r="S399" s="309"/>
      <c r="T399" s="309"/>
      <c r="U399" s="309"/>
      <c r="V399" s="315"/>
    </row>
    <row r="400" spans="1:22">
      <c r="A400" s="310"/>
      <c r="B400" s="311"/>
      <c r="C400" s="312"/>
      <c r="D400" s="313"/>
      <c r="E400" s="313"/>
      <c r="F400" s="313"/>
      <c r="G400" s="313"/>
      <c r="H400" s="313"/>
      <c r="I400" s="313"/>
      <c r="J400" s="314"/>
      <c r="K400" s="314"/>
      <c r="L400" s="313"/>
      <c r="M400" s="313"/>
      <c r="N400" s="313"/>
      <c r="O400" s="314"/>
      <c r="P400" s="314"/>
      <c r="Q400" s="313"/>
      <c r="R400" s="314"/>
      <c r="S400" s="314"/>
      <c r="T400" s="314"/>
      <c r="U400" s="314"/>
      <c r="V400" s="315"/>
    </row>
    <row r="401" spans="1:22" ht="15" thickBot="1">
      <c r="A401" s="326"/>
      <c r="B401" s="327"/>
      <c r="C401" s="328"/>
      <c r="D401" s="329"/>
      <c r="E401" s="329"/>
      <c r="F401" s="329"/>
      <c r="G401" s="329"/>
      <c r="H401" s="329"/>
      <c r="I401" s="329"/>
      <c r="J401" s="330"/>
      <c r="K401" s="330"/>
      <c r="L401" s="329"/>
      <c r="M401" s="329"/>
      <c r="N401" s="329"/>
      <c r="O401" s="330"/>
      <c r="P401" s="330"/>
      <c r="Q401" s="329"/>
      <c r="R401" s="330"/>
      <c r="S401" s="330"/>
      <c r="T401" s="330"/>
      <c r="U401" s="330"/>
      <c r="V401" s="315"/>
    </row>
    <row r="402" spans="1:22">
      <c r="A402" s="306"/>
      <c r="B402" s="55"/>
      <c r="C402" s="307"/>
      <c r="D402" s="308"/>
      <c r="E402" s="308"/>
      <c r="F402" s="308"/>
      <c r="G402" s="308"/>
      <c r="H402" s="308"/>
      <c r="I402" s="308"/>
      <c r="J402" s="309"/>
      <c r="K402" s="309"/>
      <c r="L402" s="308"/>
      <c r="M402" s="308"/>
      <c r="N402" s="308"/>
      <c r="O402" s="309"/>
      <c r="P402" s="309"/>
      <c r="Q402" s="308"/>
      <c r="R402" s="309"/>
      <c r="S402" s="309"/>
      <c r="T402" s="309"/>
      <c r="U402" s="309"/>
      <c r="V402" s="315"/>
    </row>
    <row r="403" spans="1:22">
      <c r="A403" s="310"/>
      <c r="B403" s="311"/>
      <c r="C403" s="312"/>
      <c r="D403" s="313"/>
      <c r="E403" s="313"/>
      <c r="F403" s="313"/>
      <c r="G403" s="313"/>
      <c r="H403" s="313"/>
      <c r="I403" s="313"/>
      <c r="J403" s="314"/>
      <c r="K403" s="314"/>
      <c r="L403" s="313"/>
      <c r="M403" s="313"/>
      <c r="N403" s="313"/>
      <c r="O403" s="314"/>
      <c r="P403" s="314"/>
      <c r="Q403" s="313"/>
      <c r="R403" s="314"/>
      <c r="S403" s="314"/>
      <c r="T403" s="314"/>
      <c r="U403" s="314"/>
      <c r="V403" s="315"/>
    </row>
    <row r="404" spans="1:22">
      <c r="A404" s="310"/>
      <c r="B404" s="316"/>
      <c r="C404" s="317"/>
      <c r="D404" s="318"/>
      <c r="E404" s="318"/>
      <c r="F404" s="318"/>
      <c r="G404" s="318"/>
      <c r="H404" s="318"/>
      <c r="I404" s="318"/>
      <c r="J404" s="320"/>
      <c r="K404" s="320"/>
      <c r="L404" s="318"/>
      <c r="M404" s="318"/>
      <c r="N404" s="318"/>
      <c r="O404" s="320"/>
      <c r="P404" s="320"/>
      <c r="Q404" s="318"/>
      <c r="R404" s="320"/>
      <c r="S404" s="320"/>
      <c r="T404" s="320"/>
      <c r="U404" s="320"/>
      <c r="V404" s="315"/>
    </row>
    <row r="405" spans="1:22">
      <c r="A405" s="310"/>
      <c r="B405" s="55"/>
      <c r="C405" s="307"/>
      <c r="D405" s="308"/>
      <c r="E405" s="308"/>
      <c r="F405" s="308"/>
      <c r="G405" s="308"/>
      <c r="H405" s="308"/>
      <c r="I405" s="308"/>
      <c r="J405" s="309"/>
      <c r="K405" s="309"/>
      <c r="L405" s="308"/>
      <c r="M405" s="308"/>
      <c r="N405" s="308"/>
      <c r="O405" s="309"/>
      <c r="P405" s="309"/>
      <c r="Q405" s="308"/>
      <c r="R405" s="309"/>
      <c r="S405" s="309"/>
      <c r="T405" s="309"/>
      <c r="U405" s="309"/>
      <c r="V405" s="315"/>
    </row>
    <row r="406" spans="1:22">
      <c r="A406" s="310"/>
      <c r="B406" s="311"/>
      <c r="C406" s="312"/>
      <c r="D406" s="313"/>
      <c r="E406" s="313"/>
      <c r="F406" s="313"/>
      <c r="G406" s="313"/>
      <c r="H406" s="313"/>
      <c r="I406" s="313"/>
      <c r="J406" s="314"/>
      <c r="K406" s="314"/>
      <c r="L406" s="313"/>
      <c r="M406" s="313"/>
      <c r="N406" s="313"/>
      <c r="O406" s="314"/>
      <c r="P406" s="314"/>
      <c r="Q406" s="313"/>
      <c r="R406" s="314"/>
      <c r="S406" s="314"/>
      <c r="T406" s="314"/>
      <c r="U406" s="314"/>
      <c r="V406" s="315"/>
    </row>
    <row r="407" spans="1:22">
      <c r="A407" s="310"/>
      <c r="B407" s="316"/>
      <c r="C407" s="317"/>
      <c r="D407" s="318"/>
      <c r="E407" s="318"/>
      <c r="F407" s="318"/>
      <c r="G407" s="318"/>
      <c r="H407" s="318"/>
      <c r="I407" s="318"/>
      <c r="J407" s="320"/>
      <c r="K407" s="320"/>
      <c r="L407" s="318"/>
      <c r="M407" s="318"/>
      <c r="N407" s="318"/>
      <c r="O407" s="320"/>
      <c r="P407" s="320"/>
      <c r="Q407" s="318"/>
      <c r="R407" s="320"/>
      <c r="S407" s="320"/>
      <c r="T407" s="320"/>
      <c r="U407" s="320"/>
      <c r="V407" s="315"/>
    </row>
    <row r="408" spans="1:22">
      <c r="A408" s="310"/>
      <c r="B408" s="55"/>
      <c r="C408" s="307"/>
      <c r="D408" s="308"/>
      <c r="E408" s="308"/>
      <c r="F408" s="308"/>
      <c r="G408" s="308"/>
      <c r="H408" s="308"/>
      <c r="I408" s="308"/>
      <c r="J408" s="309"/>
      <c r="K408" s="309"/>
      <c r="L408" s="308"/>
      <c r="M408" s="308"/>
      <c r="N408" s="308"/>
      <c r="O408" s="309"/>
      <c r="P408" s="309"/>
      <c r="Q408" s="308"/>
      <c r="R408" s="309"/>
      <c r="S408" s="309"/>
      <c r="T408" s="309"/>
      <c r="U408" s="309"/>
      <c r="V408" s="315"/>
    </row>
    <row r="409" spans="1:22">
      <c r="A409" s="310"/>
      <c r="B409" s="311"/>
      <c r="C409" s="312"/>
      <c r="D409" s="313"/>
      <c r="E409" s="313"/>
      <c r="F409" s="313"/>
      <c r="G409" s="313"/>
      <c r="H409" s="313"/>
      <c r="I409" s="313"/>
      <c r="J409" s="314"/>
      <c r="K409" s="314"/>
      <c r="L409" s="313"/>
      <c r="M409" s="313"/>
      <c r="N409" s="313"/>
      <c r="O409" s="314"/>
      <c r="P409" s="314"/>
      <c r="Q409" s="313"/>
      <c r="R409" s="314"/>
      <c r="S409" s="314"/>
      <c r="T409" s="314"/>
      <c r="U409" s="314"/>
      <c r="V409" s="315"/>
    </row>
    <row r="410" spans="1:22">
      <c r="A410" s="310"/>
      <c r="B410" s="316"/>
      <c r="C410" s="317"/>
      <c r="D410" s="318"/>
      <c r="E410" s="318"/>
      <c r="F410" s="318"/>
      <c r="G410" s="318"/>
      <c r="H410" s="318"/>
      <c r="I410" s="318"/>
      <c r="J410" s="320"/>
      <c r="K410" s="320"/>
      <c r="L410" s="318"/>
      <c r="M410" s="318"/>
      <c r="N410" s="318"/>
      <c r="O410" s="320"/>
      <c r="P410" s="320"/>
      <c r="Q410" s="318"/>
      <c r="R410" s="320"/>
      <c r="S410" s="320"/>
      <c r="T410" s="320"/>
      <c r="U410" s="320"/>
      <c r="V410" s="315"/>
    </row>
    <row r="411" spans="1:22">
      <c r="A411" s="310"/>
      <c r="B411" s="55"/>
      <c r="C411" s="307"/>
      <c r="D411" s="308"/>
      <c r="E411" s="308"/>
      <c r="F411" s="308"/>
      <c r="G411" s="308"/>
      <c r="H411" s="308"/>
      <c r="I411" s="308"/>
      <c r="J411" s="309"/>
      <c r="K411" s="309"/>
      <c r="L411" s="308"/>
      <c r="M411" s="308"/>
      <c r="N411" s="308"/>
      <c r="O411" s="309"/>
      <c r="P411" s="309"/>
      <c r="Q411" s="308"/>
      <c r="R411" s="309"/>
      <c r="S411" s="309"/>
      <c r="T411" s="309"/>
      <c r="U411" s="309"/>
      <c r="V411" s="315"/>
    </row>
    <row r="412" spans="1:22">
      <c r="A412" s="310"/>
      <c r="B412" s="311"/>
      <c r="C412" s="312"/>
      <c r="D412" s="313"/>
      <c r="E412" s="313"/>
      <c r="F412" s="313"/>
      <c r="G412" s="313"/>
      <c r="H412" s="313"/>
      <c r="I412" s="313"/>
      <c r="J412" s="314"/>
      <c r="K412" s="314"/>
      <c r="L412" s="313"/>
      <c r="M412" s="313"/>
      <c r="N412" s="313"/>
      <c r="O412" s="314"/>
      <c r="P412" s="314"/>
      <c r="Q412" s="313"/>
      <c r="R412" s="314"/>
      <c r="S412" s="314"/>
      <c r="T412" s="314"/>
      <c r="U412" s="314"/>
      <c r="V412" s="315"/>
    </row>
    <row r="413" spans="1:22">
      <c r="A413" s="310"/>
      <c r="B413" s="316"/>
      <c r="C413" s="317"/>
      <c r="D413" s="318"/>
      <c r="E413" s="318"/>
      <c r="F413" s="318"/>
      <c r="G413" s="318"/>
      <c r="H413" s="318"/>
      <c r="I413" s="318"/>
      <c r="J413" s="320"/>
      <c r="K413" s="320"/>
      <c r="L413" s="318"/>
      <c r="M413" s="318"/>
      <c r="N413" s="318"/>
      <c r="O413" s="320"/>
      <c r="P413" s="320"/>
      <c r="Q413" s="318"/>
      <c r="R413" s="320"/>
      <c r="S413" s="320"/>
      <c r="T413" s="320"/>
      <c r="U413" s="320"/>
      <c r="V413" s="315"/>
    </row>
    <row r="414" spans="1:22">
      <c r="A414" s="310"/>
      <c r="B414" s="55"/>
      <c r="C414" s="307"/>
      <c r="D414" s="308"/>
      <c r="E414" s="308"/>
      <c r="F414" s="308"/>
      <c r="G414" s="308"/>
      <c r="H414" s="308"/>
      <c r="I414" s="308"/>
      <c r="J414" s="309"/>
      <c r="K414" s="309"/>
      <c r="L414" s="308"/>
      <c r="M414" s="308"/>
      <c r="N414" s="308"/>
      <c r="O414" s="309"/>
      <c r="P414" s="309"/>
      <c r="Q414" s="308"/>
      <c r="R414" s="309"/>
      <c r="S414" s="309"/>
      <c r="T414" s="309"/>
      <c r="U414" s="309"/>
      <c r="V414" s="315"/>
    </row>
    <row r="415" spans="1:22">
      <c r="A415" s="310"/>
      <c r="B415" s="311"/>
      <c r="C415" s="312"/>
      <c r="D415" s="313"/>
      <c r="E415" s="313"/>
      <c r="F415" s="313"/>
      <c r="G415" s="313"/>
      <c r="H415" s="313"/>
      <c r="I415" s="313"/>
      <c r="J415" s="314"/>
      <c r="K415" s="314"/>
      <c r="L415" s="313"/>
      <c r="M415" s="313"/>
      <c r="N415" s="313"/>
      <c r="O415" s="314"/>
      <c r="P415" s="314"/>
      <c r="Q415" s="313"/>
      <c r="R415" s="314"/>
      <c r="S415" s="314"/>
      <c r="T415" s="314"/>
      <c r="U415" s="314"/>
      <c r="V415" s="315"/>
    </row>
    <row r="416" spans="1:22">
      <c r="A416" s="310"/>
      <c r="B416" s="316"/>
      <c r="C416" s="317"/>
      <c r="D416" s="318"/>
      <c r="E416" s="318"/>
      <c r="F416" s="318"/>
      <c r="G416" s="318"/>
      <c r="H416" s="318"/>
      <c r="I416" s="318"/>
      <c r="J416" s="320"/>
      <c r="K416" s="320"/>
      <c r="L416" s="318"/>
      <c r="M416" s="318"/>
      <c r="N416" s="318"/>
      <c r="O416" s="320"/>
      <c r="P416" s="320"/>
      <c r="Q416" s="318"/>
      <c r="R416" s="320"/>
      <c r="S416" s="320"/>
      <c r="T416" s="320"/>
      <c r="U416" s="320"/>
      <c r="V416" s="315"/>
    </row>
    <row r="417" spans="1:22">
      <c r="A417" s="310"/>
      <c r="B417" s="55"/>
      <c r="C417" s="307"/>
      <c r="D417" s="308"/>
      <c r="E417" s="308"/>
      <c r="F417" s="308"/>
      <c r="G417" s="308"/>
      <c r="H417" s="308"/>
      <c r="I417" s="308"/>
      <c r="J417" s="309"/>
      <c r="K417" s="309"/>
      <c r="L417" s="308"/>
      <c r="M417" s="308"/>
      <c r="N417" s="308"/>
      <c r="O417" s="309"/>
      <c r="P417" s="309"/>
      <c r="Q417" s="308"/>
      <c r="R417" s="309"/>
      <c r="S417" s="309"/>
      <c r="T417" s="309"/>
      <c r="U417" s="309"/>
      <c r="V417" s="315"/>
    </row>
    <row r="418" spans="1:22">
      <c r="A418" s="310"/>
      <c r="B418" s="311"/>
      <c r="C418" s="312"/>
      <c r="D418" s="313"/>
      <c r="E418" s="313"/>
      <c r="F418" s="313"/>
      <c r="G418" s="313"/>
      <c r="H418" s="313"/>
      <c r="I418" s="313"/>
      <c r="J418" s="314"/>
      <c r="K418" s="314"/>
      <c r="L418" s="313"/>
      <c r="M418" s="313"/>
      <c r="N418" s="313"/>
      <c r="O418" s="314"/>
      <c r="P418" s="314"/>
      <c r="Q418" s="313"/>
      <c r="R418" s="314"/>
      <c r="S418" s="314"/>
      <c r="T418" s="314"/>
      <c r="U418" s="314"/>
      <c r="V418" s="315"/>
    </row>
    <row r="419" spans="1:22" ht="15" thickBot="1">
      <c r="A419" s="310"/>
      <c r="B419" s="322"/>
      <c r="C419" s="323"/>
      <c r="D419" s="324"/>
      <c r="E419" s="324"/>
      <c r="F419" s="324"/>
      <c r="G419" s="324"/>
      <c r="H419" s="324"/>
      <c r="I419" s="324"/>
      <c r="J419" s="325"/>
      <c r="K419" s="325"/>
      <c r="L419" s="324"/>
      <c r="M419" s="324"/>
      <c r="N419" s="324"/>
      <c r="O419" s="325"/>
      <c r="P419" s="325"/>
      <c r="Q419" s="324"/>
      <c r="R419" s="325"/>
      <c r="S419" s="325"/>
      <c r="T419" s="325"/>
      <c r="U419" s="325"/>
      <c r="V419" s="315"/>
    </row>
    <row r="420" spans="1:22" ht="15" thickTop="1">
      <c r="A420" s="310"/>
      <c r="B420" s="311"/>
      <c r="C420" s="312"/>
      <c r="D420" s="313"/>
      <c r="E420" s="313"/>
      <c r="F420" s="313"/>
      <c r="G420" s="313"/>
      <c r="H420" s="313"/>
      <c r="I420" s="313"/>
      <c r="J420" s="314"/>
      <c r="K420" s="314"/>
      <c r="L420" s="313"/>
      <c r="M420" s="313"/>
      <c r="N420" s="313"/>
      <c r="O420" s="314"/>
      <c r="P420" s="314"/>
      <c r="Q420" s="313"/>
      <c r="R420" s="314"/>
      <c r="S420" s="314"/>
      <c r="T420" s="314"/>
      <c r="U420" s="314"/>
      <c r="V420" s="315"/>
    </row>
    <row r="421" spans="1:22">
      <c r="A421" s="310"/>
      <c r="B421" s="311"/>
      <c r="C421" s="312"/>
      <c r="D421" s="313"/>
      <c r="E421" s="313"/>
      <c r="F421" s="313"/>
      <c r="G421" s="313"/>
      <c r="H421" s="313"/>
      <c r="I421" s="313"/>
      <c r="J421" s="314"/>
      <c r="K421" s="314"/>
      <c r="L421" s="313"/>
      <c r="M421" s="313"/>
      <c r="N421" s="313"/>
      <c r="O421" s="314"/>
      <c r="P421" s="314"/>
      <c r="Q421" s="313"/>
      <c r="R421" s="314"/>
      <c r="S421" s="314"/>
      <c r="T421" s="314"/>
      <c r="U421" s="314"/>
      <c r="V421" s="315"/>
    </row>
    <row r="422" spans="1:22">
      <c r="A422" s="310"/>
      <c r="B422" s="316"/>
      <c r="C422" s="317"/>
      <c r="D422" s="318"/>
      <c r="E422" s="318"/>
      <c r="F422" s="318"/>
      <c r="G422" s="318"/>
      <c r="H422" s="318"/>
      <c r="I422" s="318"/>
      <c r="J422" s="320"/>
      <c r="K422" s="320"/>
      <c r="L422" s="318"/>
      <c r="M422" s="318"/>
      <c r="N422" s="318"/>
      <c r="O422" s="320"/>
      <c r="P422" s="320"/>
      <c r="Q422" s="318"/>
      <c r="R422" s="320"/>
      <c r="S422" s="320"/>
      <c r="T422" s="320"/>
      <c r="U422" s="320"/>
      <c r="V422" s="315"/>
    </row>
    <row r="423" spans="1:22">
      <c r="A423" s="310"/>
      <c r="B423" s="55"/>
      <c r="C423" s="307"/>
      <c r="D423" s="308"/>
      <c r="E423" s="308"/>
      <c r="F423" s="308"/>
      <c r="G423" s="308"/>
      <c r="H423" s="308"/>
      <c r="I423" s="308"/>
      <c r="J423" s="309"/>
      <c r="K423" s="309"/>
      <c r="L423" s="308"/>
      <c r="M423" s="308"/>
      <c r="N423" s="308"/>
      <c r="O423" s="309"/>
      <c r="P423" s="309"/>
      <c r="Q423" s="308"/>
      <c r="R423" s="309"/>
      <c r="S423" s="309"/>
      <c r="T423" s="309"/>
      <c r="U423" s="309"/>
      <c r="V423" s="315"/>
    </row>
    <row r="424" spans="1:22">
      <c r="A424" s="310"/>
      <c r="B424" s="311"/>
      <c r="C424" s="312"/>
      <c r="D424" s="313"/>
      <c r="E424" s="313"/>
      <c r="F424" s="313"/>
      <c r="G424" s="313"/>
      <c r="H424" s="313"/>
      <c r="I424" s="313"/>
      <c r="J424" s="314"/>
      <c r="K424" s="314"/>
      <c r="L424" s="313"/>
      <c r="M424" s="313"/>
      <c r="N424" s="313"/>
      <c r="O424" s="314"/>
      <c r="P424" s="314"/>
      <c r="Q424" s="313"/>
      <c r="R424" s="314"/>
      <c r="S424" s="314"/>
      <c r="T424" s="314"/>
      <c r="U424" s="314"/>
      <c r="V424" s="315"/>
    </row>
    <row r="425" spans="1:22">
      <c r="A425" s="310"/>
      <c r="B425" s="316"/>
      <c r="C425" s="317"/>
      <c r="D425" s="318"/>
      <c r="E425" s="318"/>
      <c r="F425" s="318"/>
      <c r="G425" s="318"/>
      <c r="H425" s="318"/>
      <c r="I425" s="318"/>
      <c r="J425" s="320"/>
      <c r="K425" s="320"/>
      <c r="L425" s="318"/>
      <c r="M425" s="318"/>
      <c r="N425" s="318"/>
      <c r="O425" s="320"/>
      <c r="P425" s="320"/>
      <c r="Q425" s="318"/>
      <c r="R425" s="320"/>
      <c r="S425" s="320"/>
      <c r="T425" s="320"/>
      <c r="U425" s="320"/>
      <c r="V425" s="315"/>
    </row>
    <row r="426" spans="1:22">
      <c r="A426" s="310"/>
      <c r="B426" s="55"/>
      <c r="C426" s="307"/>
      <c r="D426" s="308"/>
      <c r="E426" s="308"/>
      <c r="F426" s="308"/>
      <c r="G426" s="308"/>
      <c r="H426" s="308"/>
      <c r="I426" s="308"/>
      <c r="J426" s="309"/>
      <c r="K426" s="309"/>
      <c r="L426" s="308"/>
      <c r="M426" s="308"/>
      <c r="N426" s="308"/>
      <c r="O426" s="309"/>
      <c r="P426" s="309"/>
      <c r="Q426" s="308"/>
      <c r="R426" s="309"/>
      <c r="S426" s="309"/>
      <c r="T426" s="309"/>
      <c r="U426" s="309"/>
      <c r="V426" s="315"/>
    </row>
    <row r="427" spans="1:22">
      <c r="A427" s="310"/>
      <c r="B427" s="311"/>
      <c r="C427" s="312"/>
      <c r="D427" s="313"/>
      <c r="E427" s="313"/>
      <c r="F427" s="313"/>
      <c r="G427" s="313"/>
      <c r="H427" s="313"/>
      <c r="I427" s="313"/>
      <c r="J427" s="314"/>
      <c r="K427" s="314"/>
      <c r="L427" s="313"/>
      <c r="M427" s="313"/>
      <c r="N427" s="313"/>
      <c r="O427" s="314"/>
      <c r="P427" s="314"/>
      <c r="Q427" s="313"/>
      <c r="R427" s="314"/>
      <c r="S427" s="314"/>
      <c r="T427" s="314"/>
      <c r="U427" s="314"/>
      <c r="V427" s="315"/>
    </row>
    <row r="428" spans="1:22">
      <c r="A428" s="310"/>
      <c r="B428" s="316"/>
      <c r="C428" s="317"/>
      <c r="D428" s="318"/>
      <c r="E428" s="318"/>
      <c r="F428" s="318"/>
      <c r="G428" s="318"/>
      <c r="H428" s="318"/>
      <c r="I428" s="318"/>
      <c r="J428" s="320"/>
      <c r="K428" s="320"/>
      <c r="L428" s="318"/>
      <c r="M428" s="318"/>
      <c r="N428" s="318"/>
      <c r="O428" s="320"/>
      <c r="P428" s="320"/>
      <c r="Q428" s="318"/>
      <c r="R428" s="320"/>
      <c r="S428" s="320"/>
      <c r="T428" s="320"/>
      <c r="U428" s="320"/>
      <c r="V428" s="315"/>
    </row>
    <row r="429" spans="1:22">
      <c r="A429" s="310"/>
      <c r="B429" s="55"/>
      <c r="C429" s="307"/>
      <c r="D429" s="308"/>
      <c r="E429" s="308"/>
      <c r="F429" s="308"/>
      <c r="G429" s="308"/>
      <c r="H429" s="308"/>
      <c r="I429" s="308"/>
      <c r="J429" s="309"/>
      <c r="K429" s="309"/>
      <c r="L429" s="308"/>
      <c r="M429" s="308"/>
      <c r="N429" s="308"/>
      <c r="O429" s="309"/>
      <c r="P429" s="309"/>
      <c r="Q429" s="308"/>
      <c r="R429" s="309"/>
      <c r="S429" s="309"/>
      <c r="T429" s="309"/>
      <c r="U429" s="309"/>
      <c r="V429" s="315"/>
    </row>
    <row r="430" spans="1:22">
      <c r="A430" s="310"/>
      <c r="B430" s="311"/>
      <c r="C430" s="312"/>
      <c r="D430" s="313"/>
      <c r="E430" s="313"/>
      <c r="F430" s="313"/>
      <c r="G430" s="313"/>
      <c r="H430" s="313"/>
      <c r="I430" s="313"/>
      <c r="J430" s="314"/>
      <c r="K430" s="314"/>
      <c r="L430" s="313"/>
      <c r="M430" s="313"/>
      <c r="N430" s="313"/>
      <c r="O430" s="314"/>
      <c r="P430" s="314"/>
      <c r="Q430" s="313"/>
      <c r="R430" s="314"/>
      <c r="S430" s="314"/>
      <c r="T430" s="314"/>
      <c r="U430" s="314"/>
      <c r="V430" s="315"/>
    </row>
    <row r="431" spans="1:22">
      <c r="A431" s="310"/>
      <c r="B431" s="316"/>
      <c r="C431" s="317"/>
      <c r="D431" s="318"/>
      <c r="E431" s="318"/>
      <c r="F431" s="318"/>
      <c r="G431" s="318"/>
      <c r="H431" s="318"/>
      <c r="I431" s="318"/>
      <c r="J431" s="320"/>
      <c r="K431" s="320"/>
      <c r="L431" s="318"/>
      <c r="M431" s="318"/>
      <c r="N431" s="318"/>
      <c r="O431" s="320"/>
      <c r="P431" s="320"/>
      <c r="Q431" s="318"/>
      <c r="R431" s="320"/>
      <c r="S431" s="320"/>
      <c r="T431" s="320"/>
      <c r="U431" s="320"/>
      <c r="V431" s="315"/>
    </row>
    <row r="432" spans="1:22">
      <c r="A432" s="310"/>
      <c r="B432" s="55"/>
      <c r="C432" s="307"/>
      <c r="D432" s="308"/>
      <c r="E432" s="308"/>
      <c r="F432" s="308"/>
      <c r="G432" s="308"/>
      <c r="H432" s="308"/>
      <c r="I432" s="308"/>
      <c r="J432" s="309"/>
      <c r="K432" s="309"/>
      <c r="L432" s="308"/>
      <c r="M432" s="308"/>
      <c r="N432" s="308"/>
      <c r="O432" s="309"/>
      <c r="P432" s="309"/>
      <c r="Q432" s="308"/>
      <c r="R432" s="309"/>
      <c r="S432" s="309"/>
      <c r="T432" s="309"/>
      <c r="U432" s="309"/>
      <c r="V432" s="315"/>
    </row>
    <row r="433" spans="1:22">
      <c r="A433" s="310"/>
      <c r="B433" s="311"/>
      <c r="C433" s="312"/>
      <c r="D433" s="313"/>
      <c r="E433" s="313"/>
      <c r="F433" s="313"/>
      <c r="G433" s="313"/>
      <c r="H433" s="313"/>
      <c r="I433" s="313"/>
      <c r="J433" s="314"/>
      <c r="K433" s="314"/>
      <c r="L433" s="313"/>
      <c r="M433" s="313"/>
      <c r="N433" s="313"/>
      <c r="O433" s="314"/>
      <c r="P433" s="314"/>
      <c r="Q433" s="313"/>
      <c r="R433" s="314"/>
      <c r="S433" s="314"/>
      <c r="T433" s="314"/>
      <c r="U433" s="314"/>
      <c r="V433" s="315"/>
    </row>
    <row r="434" spans="1:22">
      <c r="A434" s="310"/>
      <c r="B434" s="316"/>
      <c r="C434" s="317"/>
      <c r="D434" s="318"/>
      <c r="E434" s="318"/>
      <c r="F434" s="318"/>
      <c r="G434" s="318"/>
      <c r="H434" s="318"/>
      <c r="I434" s="318"/>
      <c r="J434" s="320"/>
      <c r="K434" s="320"/>
      <c r="L434" s="318"/>
      <c r="M434" s="318"/>
      <c r="N434" s="318"/>
      <c r="O434" s="320"/>
      <c r="P434" s="320"/>
      <c r="Q434" s="318"/>
      <c r="R434" s="320"/>
      <c r="S434" s="320"/>
      <c r="T434" s="320"/>
      <c r="U434" s="320"/>
      <c r="V434" s="315"/>
    </row>
    <row r="435" spans="1:22">
      <c r="A435" s="310"/>
      <c r="B435" s="55"/>
      <c r="C435" s="307"/>
      <c r="D435" s="308"/>
      <c r="E435" s="308"/>
      <c r="F435" s="308"/>
      <c r="G435" s="308"/>
      <c r="H435" s="308"/>
      <c r="I435" s="308"/>
      <c r="J435" s="309"/>
      <c r="K435" s="309"/>
      <c r="L435" s="308"/>
      <c r="M435" s="308"/>
      <c r="N435" s="308"/>
      <c r="O435" s="309"/>
      <c r="P435" s="309"/>
      <c r="Q435" s="308"/>
      <c r="R435" s="309"/>
      <c r="S435" s="309"/>
      <c r="T435" s="309"/>
      <c r="U435" s="309"/>
      <c r="V435" s="315"/>
    </row>
    <row r="436" spans="1:22">
      <c r="A436" s="310"/>
      <c r="B436" s="311"/>
      <c r="C436" s="312"/>
      <c r="D436" s="313"/>
      <c r="E436" s="313"/>
      <c r="F436" s="313"/>
      <c r="G436" s="313"/>
      <c r="H436" s="313"/>
      <c r="I436" s="313"/>
      <c r="J436" s="314"/>
      <c r="K436" s="314"/>
      <c r="L436" s="313"/>
      <c r="M436" s="313"/>
      <c r="N436" s="313"/>
      <c r="O436" s="314"/>
      <c r="P436" s="314"/>
      <c r="Q436" s="313"/>
      <c r="R436" s="314"/>
      <c r="S436" s="314"/>
      <c r="T436" s="314"/>
      <c r="U436" s="314"/>
      <c r="V436" s="315"/>
    </row>
    <row r="437" spans="1:22" ht="15" thickBot="1">
      <c r="A437" s="326"/>
      <c r="B437" s="327"/>
      <c r="C437" s="328"/>
      <c r="D437" s="329"/>
      <c r="E437" s="329"/>
      <c r="F437" s="329"/>
      <c r="G437" s="329"/>
      <c r="H437" s="329"/>
      <c r="I437" s="329"/>
      <c r="J437" s="330"/>
      <c r="K437" s="330"/>
      <c r="L437" s="329"/>
      <c r="M437" s="329"/>
      <c r="N437" s="329"/>
      <c r="O437" s="330"/>
      <c r="P437" s="330"/>
      <c r="Q437" s="329"/>
      <c r="R437" s="330"/>
      <c r="S437" s="330"/>
      <c r="T437" s="330"/>
      <c r="U437" s="330"/>
      <c r="V437" s="315"/>
    </row>
    <row r="438" spans="1:22">
      <c r="A438" s="306"/>
      <c r="B438" s="55"/>
      <c r="C438" s="307"/>
      <c r="D438" s="308"/>
      <c r="E438" s="308"/>
      <c r="F438" s="308"/>
      <c r="G438" s="308"/>
      <c r="H438" s="308"/>
      <c r="I438" s="308"/>
      <c r="J438" s="309"/>
      <c r="K438" s="309"/>
      <c r="L438" s="308"/>
      <c r="M438" s="308"/>
      <c r="N438" s="308"/>
      <c r="O438" s="309"/>
      <c r="P438" s="309"/>
      <c r="Q438" s="308"/>
      <c r="R438" s="309"/>
      <c r="S438" s="309"/>
      <c r="T438" s="309"/>
      <c r="U438" s="309"/>
      <c r="V438" s="315"/>
    </row>
    <row r="439" spans="1:22">
      <c r="A439" s="310"/>
      <c r="B439" s="311"/>
      <c r="C439" s="312"/>
      <c r="D439" s="313"/>
      <c r="E439" s="313"/>
      <c r="F439" s="313"/>
      <c r="G439" s="313"/>
      <c r="H439" s="313"/>
      <c r="I439" s="313"/>
      <c r="J439" s="314"/>
      <c r="K439" s="314"/>
      <c r="L439" s="313"/>
      <c r="M439" s="313"/>
      <c r="N439" s="313"/>
      <c r="O439" s="314"/>
      <c r="P439" s="314"/>
      <c r="Q439" s="313"/>
      <c r="R439" s="314"/>
      <c r="S439" s="314"/>
      <c r="T439" s="314"/>
      <c r="U439" s="314"/>
      <c r="V439" s="315"/>
    </row>
    <row r="440" spans="1:22">
      <c r="A440" s="310"/>
      <c r="B440" s="316"/>
      <c r="C440" s="317"/>
      <c r="D440" s="318"/>
      <c r="E440" s="318"/>
      <c r="F440" s="318"/>
      <c r="G440" s="318"/>
      <c r="H440" s="318"/>
      <c r="I440" s="318"/>
      <c r="J440" s="320"/>
      <c r="K440" s="320"/>
      <c r="L440" s="318"/>
      <c r="M440" s="318"/>
      <c r="N440" s="318"/>
      <c r="O440" s="320"/>
      <c r="P440" s="320"/>
      <c r="Q440" s="318"/>
      <c r="R440" s="320"/>
      <c r="S440" s="320"/>
      <c r="T440" s="320"/>
      <c r="U440" s="320"/>
      <c r="V440" s="315"/>
    </row>
    <row r="441" spans="1:22">
      <c r="A441" s="310"/>
      <c r="B441" s="55"/>
      <c r="C441" s="307"/>
      <c r="D441" s="308"/>
      <c r="E441" s="308"/>
      <c r="F441" s="308"/>
      <c r="G441" s="308"/>
      <c r="H441" s="308"/>
      <c r="I441" s="308"/>
      <c r="J441" s="309"/>
      <c r="K441" s="309"/>
      <c r="L441" s="308"/>
      <c r="M441" s="308"/>
      <c r="N441" s="308"/>
      <c r="O441" s="309"/>
      <c r="P441" s="309"/>
      <c r="Q441" s="308"/>
      <c r="R441" s="309"/>
      <c r="S441" s="309"/>
      <c r="T441" s="309"/>
      <c r="U441" s="309"/>
      <c r="V441" s="315"/>
    </row>
    <row r="442" spans="1:22">
      <c r="A442" s="310"/>
      <c r="B442" s="311"/>
      <c r="C442" s="312"/>
      <c r="D442" s="313"/>
      <c r="E442" s="313"/>
      <c r="F442" s="313"/>
      <c r="G442" s="313"/>
      <c r="H442" s="313"/>
      <c r="I442" s="313"/>
      <c r="J442" s="314"/>
      <c r="K442" s="314"/>
      <c r="L442" s="313"/>
      <c r="M442" s="313"/>
      <c r="N442" s="313"/>
      <c r="O442" s="314"/>
      <c r="P442" s="314"/>
      <c r="Q442" s="313"/>
      <c r="R442" s="314"/>
      <c r="S442" s="314"/>
      <c r="T442" s="314"/>
      <c r="U442" s="314"/>
      <c r="V442" s="315"/>
    </row>
    <row r="443" spans="1:22">
      <c r="A443" s="310"/>
      <c r="B443" s="316"/>
      <c r="C443" s="317"/>
      <c r="D443" s="318"/>
      <c r="E443" s="318"/>
      <c r="F443" s="318"/>
      <c r="G443" s="318"/>
      <c r="H443" s="318"/>
      <c r="I443" s="318"/>
      <c r="J443" s="320"/>
      <c r="K443" s="320"/>
      <c r="L443" s="318"/>
      <c r="M443" s="318"/>
      <c r="N443" s="318"/>
      <c r="O443" s="320"/>
      <c r="P443" s="320"/>
      <c r="Q443" s="318"/>
      <c r="R443" s="320"/>
      <c r="S443" s="320"/>
      <c r="T443" s="320"/>
      <c r="U443" s="320"/>
      <c r="V443" s="315"/>
    </row>
    <row r="444" spans="1:22">
      <c r="A444" s="310"/>
      <c r="B444" s="55"/>
      <c r="C444" s="307"/>
      <c r="D444" s="308"/>
      <c r="E444" s="308"/>
      <c r="F444" s="308"/>
      <c r="G444" s="308"/>
      <c r="H444" s="308"/>
      <c r="I444" s="308"/>
      <c r="J444" s="309"/>
      <c r="K444" s="309"/>
      <c r="L444" s="308"/>
      <c r="M444" s="308"/>
      <c r="N444" s="308"/>
      <c r="O444" s="309"/>
      <c r="P444" s="309"/>
      <c r="Q444" s="308"/>
      <c r="R444" s="309"/>
      <c r="S444" s="309"/>
      <c r="T444" s="309"/>
      <c r="U444" s="309"/>
      <c r="V444" s="315"/>
    </row>
    <row r="445" spans="1:22">
      <c r="A445" s="310"/>
      <c r="B445" s="311"/>
      <c r="C445" s="312"/>
      <c r="D445" s="313"/>
      <c r="E445" s="313"/>
      <c r="F445" s="313"/>
      <c r="G445" s="313"/>
      <c r="H445" s="313"/>
      <c r="I445" s="313"/>
      <c r="J445" s="314"/>
      <c r="K445" s="314"/>
      <c r="L445" s="313"/>
      <c r="M445" s="313"/>
      <c r="N445" s="313"/>
      <c r="O445" s="314"/>
      <c r="P445" s="314"/>
      <c r="Q445" s="313"/>
      <c r="R445" s="314"/>
      <c r="S445" s="314"/>
      <c r="T445" s="314"/>
      <c r="U445" s="314"/>
      <c r="V445" s="315"/>
    </row>
    <row r="446" spans="1:22">
      <c r="A446" s="310"/>
      <c r="B446" s="316"/>
      <c r="C446" s="317"/>
      <c r="D446" s="318"/>
      <c r="E446" s="318"/>
      <c r="F446" s="318"/>
      <c r="G446" s="318"/>
      <c r="H446" s="318"/>
      <c r="I446" s="318"/>
      <c r="J446" s="320"/>
      <c r="K446" s="320"/>
      <c r="L446" s="318"/>
      <c r="M446" s="318"/>
      <c r="N446" s="318"/>
      <c r="O446" s="320"/>
      <c r="P446" s="320"/>
      <c r="Q446" s="318"/>
      <c r="R446" s="320"/>
      <c r="S446" s="320"/>
      <c r="T446" s="320"/>
      <c r="U446" s="320"/>
      <c r="V446" s="315"/>
    </row>
    <row r="447" spans="1:22">
      <c r="A447" s="310"/>
      <c r="B447" s="55"/>
      <c r="C447" s="307"/>
      <c r="D447" s="308"/>
      <c r="E447" s="308"/>
      <c r="F447" s="308"/>
      <c r="G447" s="308"/>
      <c r="H447" s="308"/>
      <c r="I447" s="308"/>
      <c r="J447" s="309"/>
      <c r="K447" s="309"/>
      <c r="L447" s="308"/>
      <c r="M447" s="308"/>
      <c r="N447" s="308"/>
      <c r="O447" s="309"/>
      <c r="P447" s="309"/>
      <c r="Q447" s="308"/>
      <c r="R447" s="309"/>
      <c r="S447" s="309"/>
      <c r="T447" s="309"/>
      <c r="U447" s="309"/>
      <c r="V447" s="315"/>
    </row>
    <row r="448" spans="1:22">
      <c r="A448" s="310"/>
      <c r="B448" s="311"/>
      <c r="C448" s="312"/>
      <c r="D448" s="313"/>
      <c r="E448" s="313"/>
      <c r="F448" s="313"/>
      <c r="G448" s="313"/>
      <c r="H448" s="313"/>
      <c r="I448" s="313"/>
      <c r="J448" s="314"/>
      <c r="K448" s="314"/>
      <c r="L448" s="313"/>
      <c r="M448" s="313"/>
      <c r="N448" s="313"/>
      <c r="O448" s="314"/>
      <c r="P448" s="314"/>
      <c r="Q448" s="313"/>
      <c r="R448" s="314"/>
      <c r="S448" s="314"/>
      <c r="T448" s="314"/>
      <c r="U448" s="314"/>
      <c r="V448" s="315"/>
    </row>
    <row r="449" spans="1:22">
      <c r="A449" s="310"/>
      <c r="B449" s="316"/>
      <c r="C449" s="317"/>
      <c r="D449" s="318"/>
      <c r="E449" s="318"/>
      <c r="F449" s="318"/>
      <c r="G449" s="318"/>
      <c r="H449" s="318"/>
      <c r="I449" s="318"/>
      <c r="J449" s="320"/>
      <c r="K449" s="320"/>
      <c r="L449" s="318"/>
      <c r="M449" s="318"/>
      <c r="N449" s="318"/>
      <c r="O449" s="320"/>
      <c r="P449" s="320"/>
      <c r="Q449" s="318"/>
      <c r="R449" s="320"/>
      <c r="S449" s="320"/>
      <c r="T449" s="320"/>
      <c r="U449" s="320"/>
      <c r="V449" s="315"/>
    </row>
    <row r="450" spans="1:22">
      <c r="A450" s="310"/>
      <c r="B450" s="55"/>
      <c r="C450" s="307"/>
      <c r="D450" s="308"/>
      <c r="E450" s="308"/>
      <c r="F450" s="308"/>
      <c r="G450" s="308"/>
      <c r="H450" s="308"/>
      <c r="I450" s="308"/>
      <c r="J450" s="309"/>
      <c r="K450" s="309"/>
      <c r="L450" s="308"/>
      <c r="M450" s="308"/>
      <c r="N450" s="308"/>
      <c r="O450" s="309"/>
      <c r="P450" s="309"/>
      <c r="Q450" s="308"/>
      <c r="R450" s="309"/>
      <c r="S450" s="309"/>
      <c r="T450" s="309"/>
      <c r="U450" s="309"/>
      <c r="V450" s="315"/>
    </row>
    <row r="451" spans="1:22">
      <c r="A451" s="310"/>
      <c r="B451" s="311"/>
      <c r="C451" s="312"/>
      <c r="D451" s="313"/>
      <c r="E451" s="313"/>
      <c r="F451" s="313"/>
      <c r="G451" s="313"/>
      <c r="H451" s="313"/>
      <c r="I451" s="313"/>
      <c r="J451" s="314"/>
      <c r="K451" s="314"/>
      <c r="L451" s="313"/>
      <c r="M451" s="313"/>
      <c r="N451" s="313"/>
      <c r="O451" s="314"/>
      <c r="P451" s="314"/>
      <c r="Q451" s="313"/>
      <c r="R451" s="314"/>
      <c r="S451" s="314"/>
      <c r="T451" s="314"/>
      <c r="U451" s="314"/>
      <c r="V451" s="315"/>
    </row>
    <row r="452" spans="1:22">
      <c r="A452" s="310"/>
      <c r="B452" s="316"/>
      <c r="C452" s="317"/>
      <c r="D452" s="318"/>
      <c r="E452" s="318"/>
      <c r="F452" s="318"/>
      <c r="G452" s="318"/>
      <c r="H452" s="318"/>
      <c r="I452" s="318"/>
      <c r="J452" s="320"/>
      <c r="K452" s="320"/>
      <c r="L452" s="318"/>
      <c r="M452" s="318"/>
      <c r="N452" s="318"/>
      <c r="O452" s="320"/>
      <c r="P452" s="320"/>
      <c r="Q452" s="318"/>
      <c r="R452" s="320"/>
      <c r="S452" s="320"/>
      <c r="T452" s="320"/>
      <c r="U452" s="320"/>
      <c r="V452" s="315"/>
    </row>
    <row r="453" spans="1:22">
      <c r="A453" s="310"/>
      <c r="B453" s="55"/>
      <c r="C453" s="307"/>
      <c r="D453" s="308"/>
      <c r="E453" s="308"/>
      <c r="F453" s="308"/>
      <c r="G453" s="308"/>
      <c r="H453" s="308"/>
      <c r="I453" s="308"/>
      <c r="J453" s="309"/>
      <c r="K453" s="309"/>
      <c r="L453" s="308"/>
      <c r="M453" s="308"/>
      <c r="N453" s="308"/>
      <c r="O453" s="309"/>
      <c r="P453" s="309"/>
      <c r="Q453" s="308"/>
      <c r="R453" s="309"/>
      <c r="S453" s="309"/>
      <c r="T453" s="309"/>
      <c r="U453" s="309"/>
      <c r="V453" s="315"/>
    </row>
    <row r="454" spans="1:22">
      <c r="A454" s="310"/>
      <c r="B454" s="311"/>
      <c r="C454" s="312"/>
      <c r="D454" s="313"/>
      <c r="E454" s="313"/>
      <c r="F454" s="313"/>
      <c r="G454" s="313"/>
      <c r="H454" s="313"/>
      <c r="I454" s="313"/>
      <c r="J454" s="314"/>
      <c r="K454" s="314"/>
      <c r="L454" s="313"/>
      <c r="M454" s="313"/>
      <c r="N454" s="313"/>
      <c r="O454" s="314"/>
      <c r="P454" s="314"/>
      <c r="Q454" s="313"/>
      <c r="R454" s="314"/>
      <c r="S454" s="314"/>
      <c r="T454" s="314"/>
      <c r="U454" s="314"/>
      <c r="V454" s="315"/>
    </row>
    <row r="455" spans="1:22" ht="15" thickBot="1">
      <c r="A455" s="310"/>
      <c r="B455" s="322"/>
      <c r="C455" s="323"/>
      <c r="D455" s="324"/>
      <c r="E455" s="324"/>
      <c r="F455" s="324"/>
      <c r="G455" s="324"/>
      <c r="H455" s="324"/>
      <c r="I455" s="324"/>
      <c r="J455" s="325"/>
      <c r="K455" s="325"/>
      <c r="L455" s="324"/>
      <c r="M455" s="324"/>
      <c r="N455" s="324"/>
      <c r="O455" s="325"/>
      <c r="P455" s="325"/>
      <c r="Q455" s="324"/>
      <c r="R455" s="325"/>
      <c r="S455" s="325"/>
      <c r="T455" s="325"/>
      <c r="U455" s="325"/>
      <c r="V455" s="315"/>
    </row>
    <row r="456" spans="1:22" ht="15" thickTop="1">
      <c r="A456" s="310"/>
      <c r="B456" s="311"/>
      <c r="C456" s="312"/>
      <c r="D456" s="313"/>
      <c r="E456" s="313"/>
      <c r="F456" s="313"/>
      <c r="G456" s="313"/>
      <c r="H456" s="313"/>
      <c r="I456" s="313"/>
      <c r="J456" s="314"/>
      <c r="K456" s="314"/>
      <c r="L456" s="313"/>
      <c r="M456" s="313"/>
      <c r="N456" s="313"/>
      <c r="O456" s="314"/>
      <c r="P456" s="314"/>
      <c r="Q456" s="313"/>
      <c r="R456" s="314"/>
      <c r="S456" s="314"/>
      <c r="T456" s="314"/>
      <c r="U456" s="314"/>
      <c r="V456" s="315"/>
    </row>
    <row r="457" spans="1:22">
      <c r="A457" s="310"/>
      <c r="B457" s="311"/>
      <c r="C457" s="312"/>
      <c r="D457" s="313"/>
      <c r="E457" s="313"/>
      <c r="F457" s="313"/>
      <c r="G457" s="313"/>
      <c r="H457" s="313"/>
      <c r="I457" s="313"/>
      <c r="J457" s="314"/>
      <c r="K457" s="314"/>
      <c r="L457" s="313"/>
      <c r="M457" s="313"/>
      <c r="N457" s="313"/>
      <c r="O457" s="314"/>
      <c r="P457" s="314"/>
      <c r="Q457" s="313"/>
      <c r="R457" s="314"/>
      <c r="S457" s="314"/>
      <c r="T457" s="314"/>
      <c r="U457" s="314"/>
      <c r="V457" s="315"/>
    </row>
    <row r="458" spans="1:22">
      <c r="A458" s="310"/>
      <c r="B458" s="316"/>
      <c r="C458" s="317"/>
      <c r="D458" s="318"/>
      <c r="E458" s="318"/>
      <c r="F458" s="318"/>
      <c r="G458" s="318"/>
      <c r="H458" s="318"/>
      <c r="I458" s="318"/>
      <c r="J458" s="320"/>
      <c r="K458" s="320"/>
      <c r="L458" s="318"/>
      <c r="M458" s="318"/>
      <c r="N458" s="318"/>
      <c r="O458" s="320"/>
      <c r="P458" s="320"/>
      <c r="Q458" s="318"/>
      <c r="R458" s="320"/>
      <c r="S458" s="320"/>
      <c r="T458" s="320"/>
      <c r="U458" s="320"/>
      <c r="V458" s="315"/>
    </row>
    <row r="459" spans="1:22">
      <c r="A459" s="310"/>
      <c r="B459" s="55"/>
      <c r="C459" s="307"/>
      <c r="D459" s="308"/>
      <c r="E459" s="308"/>
      <c r="F459" s="308"/>
      <c r="G459" s="308"/>
      <c r="H459" s="308"/>
      <c r="I459" s="308"/>
      <c r="J459" s="309"/>
      <c r="K459" s="309"/>
      <c r="L459" s="308"/>
      <c r="M459" s="308"/>
      <c r="N459" s="308"/>
      <c r="O459" s="309"/>
      <c r="P459" s="309"/>
      <c r="Q459" s="308"/>
      <c r="R459" s="309"/>
      <c r="S459" s="309"/>
      <c r="T459" s="309"/>
      <c r="U459" s="309"/>
      <c r="V459" s="315"/>
    </row>
    <row r="460" spans="1:22">
      <c r="A460" s="310"/>
      <c r="B460" s="311"/>
      <c r="C460" s="312"/>
      <c r="D460" s="313"/>
      <c r="E460" s="313"/>
      <c r="F460" s="313"/>
      <c r="G460" s="313"/>
      <c r="H460" s="313"/>
      <c r="I460" s="313"/>
      <c r="J460" s="314"/>
      <c r="K460" s="314"/>
      <c r="L460" s="313"/>
      <c r="M460" s="313"/>
      <c r="N460" s="313"/>
      <c r="O460" s="314"/>
      <c r="P460" s="314"/>
      <c r="Q460" s="313"/>
      <c r="R460" s="314"/>
      <c r="S460" s="314"/>
      <c r="T460" s="314"/>
      <c r="U460" s="314"/>
      <c r="V460" s="315"/>
    </row>
    <row r="461" spans="1:22">
      <c r="A461" s="310"/>
      <c r="B461" s="316"/>
      <c r="C461" s="317"/>
      <c r="D461" s="318"/>
      <c r="E461" s="318"/>
      <c r="F461" s="318"/>
      <c r="G461" s="318"/>
      <c r="H461" s="318"/>
      <c r="I461" s="318"/>
      <c r="J461" s="320"/>
      <c r="K461" s="320"/>
      <c r="L461" s="318"/>
      <c r="M461" s="318"/>
      <c r="N461" s="318"/>
      <c r="O461" s="320"/>
      <c r="P461" s="320"/>
      <c r="Q461" s="318"/>
      <c r="R461" s="320"/>
      <c r="S461" s="320"/>
      <c r="T461" s="320"/>
      <c r="U461" s="320"/>
      <c r="V461" s="315"/>
    </row>
    <row r="462" spans="1:22">
      <c r="A462" s="310"/>
      <c r="B462" s="55"/>
      <c r="C462" s="307"/>
      <c r="D462" s="308"/>
      <c r="E462" s="308"/>
      <c r="F462" s="308"/>
      <c r="G462" s="308"/>
      <c r="H462" s="308"/>
      <c r="I462" s="308"/>
      <c r="J462" s="309"/>
      <c r="K462" s="309"/>
      <c r="L462" s="308"/>
      <c r="M462" s="308"/>
      <c r="N462" s="308"/>
      <c r="O462" s="309"/>
      <c r="P462" s="309"/>
      <c r="Q462" s="308"/>
      <c r="R462" s="309"/>
      <c r="S462" s="309"/>
      <c r="T462" s="309"/>
      <c r="U462" s="309"/>
      <c r="V462" s="315"/>
    </row>
    <row r="463" spans="1:22">
      <c r="A463" s="310"/>
      <c r="B463" s="311"/>
      <c r="C463" s="312"/>
      <c r="D463" s="313"/>
      <c r="E463" s="313"/>
      <c r="F463" s="313"/>
      <c r="G463" s="313"/>
      <c r="H463" s="313"/>
      <c r="I463" s="313"/>
      <c r="J463" s="314"/>
      <c r="K463" s="314"/>
      <c r="L463" s="313"/>
      <c r="M463" s="313"/>
      <c r="N463" s="313"/>
      <c r="O463" s="314"/>
      <c r="P463" s="314"/>
      <c r="Q463" s="313"/>
      <c r="R463" s="314"/>
      <c r="S463" s="314"/>
      <c r="T463" s="314"/>
      <c r="U463" s="314"/>
      <c r="V463" s="315"/>
    </row>
    <row r="464" spans="1:22">
      <c r="A464" s="310"/>
      <c r="B464" s="316"/>
      <c r="C464" s="317"/>
      <c r="D464" s="318"/>
      <c r="E464" s="318"/>
      <c r="F464" s="318"/>
      <c r="G464" s="318"/>
      <c r="H464" s="318"/>
      <c r="I464" s="318"/>
      <c r="J464" s="320"/>
      <c r="K464" s="320"/>
      <c r="L464" s="318"/>
      <c r="M464" s="318"/>
      <c r="N464" s="318"/>
      <c r="O464" s="320"/>
      <c r="P464" s="320"/>
      <c r="Q464" s="318"/>
      <c r="R464" s="320"/>
      <c r="S464" s="320"/>
      <c r="T464" s="320"/>
      <c r="U464" s="320"/>
      <c r="V464" s="315"/>
    </row>
    <row r="465" spans="1:22">
      <c r="A465" s="310"/>
      <c r="B465" s="55"/>
      <c r="C465" s="307"/>
      <c r="D465" s="308"/>
      <c r="E465" s="308"/>
      <c r="F465" s="308"/>
      <c r="G465" s="308"/>
      <c r="H465" s="308"/>
      <c r="I465" s="308"/>
      <c r="J465" s="309"/>
      <c r="K465" s="309"/>
      <c r="L465" s="308"/>
      <c r="M465" s="308"/>
      <c r="N465" s="308"/>
      <c r="O465" s="309"/>
      <c r="P465" s="309"/>
      <c r="Q465" s="308"/>
      <c r="R465" s="309"/>
      <c r="S465" s="309"/>
      <c r="T465" s="309"/>
      <c r="U465" s="309"/>
      <c r="V465" s="315"/>
    </row>
    <row r="466" spans="1:22">
      <c r="A466" s="310"/>
      <c r="B466" s="311"/>
      <c r="C466" s="312"/>
      <c r="D466" s="313"/>
      <c r="E466" s="313"/>
      <c r="F466" s="313"/>
      <c r="G466" s="313"/>
      <c r="H466" s="313"/>
      <c r="I466" s="313"/>
      <c r="J466" s="314"/>
      <c r="K466" s="314"/>
      <c r="L466" s="313"/>
      <c r="M466" s="313"/>
      <c r="N466" s="313"/>
      <c r="O466" s="314"/>
      <c r="P466" s="314"/>
      <c r="Q466" s="313"/>
      <c r="R466" s="314"/>
      <c r="S466" s="314"/>
      <c r="T466" s="314"/>
      <c r="U466" s="314"/>
      <c r="V466" s="315"/>
    </row>
    <row r="467" spans="1:22">
      <c r="A467" s="310"/>
      <c r="B467" s="316"/>
      <c r="C467" s="317"/>
      <c r="D467" s="318"/>
      <c r="E467" s="318"/>
      <c r="F467" s="318"/>
      <c r="G467" s="318"/>
      <c r="H467" s="318"/>
      <c r="I467" s="318"/>
      <c r="J467" s="320"/>
      <c r="K467" s="320"/>
      <c r="L467" s="318"/>
      <c r="M467" s="318"/>
      <c r="N467" s="318"/>
      <c r="O467" s="320"/>
      <c r="P467" s="320"/>
      <c r="Q467" s="318"/>
      <c r="R467" s="320"/>
      <c r="S467" s="320"/>
      <c r="T467" s="320"/>
      <c r="U467" s="320"/>
      <c r="V467" s="315"/>
    </row>
    <row r="468" spans="1:22">
      <c r="A468" s="310"/>
      <c r="B468" s="55"/>
      <c r="C468" s="307"/>
      <c r="D468" s="308"/>
      <c r="E468" s="308"/>
      <c r="F468" s="308"/>
      <c r="G468" s="308"/>
      <c r="H468" s="308"/>
      <c r="I468" s="308"/>
      <c r="J468" s="309"/>
      <c r="K468" s="309"/>
      <c r="L468" s="308"/>
      <c r="M468" s="308"/>
      <c r="N468" s="308"/>
      <c r="O468" s="309"/>
      <c r="P468" s="309"/>
      <c r="Q468" s="308"/>
      <c r="R468" s="309"/>
      <c r="S468" s="309"/>
      <c r="T468" s="309"/>
      <c r="U468" s="309"/>
      <c r="V468" s="315"/>
    </row>
    <row r="469" spans="1:22">
      <c r="A469" s="310"/>
      <c r="B469" s="311"/>
      <c r="C469" s="312"/>
      <c r="D469" s="313"/>
      <c r="E469" s="313"/>
      <c r="F469" s="313"/>
      <c r="G469" s="313"/>
      <c r="H469" s="313"/>
      <c r="I469" s="313"/>
      <c r="J469" s="314"/>
      <c r="K469" s="314"/>
      <c r="L469" s="313"/>
      <c r="M469" s="313"/>
      <c r="N469" s="313"/>
      <c r="O469" s="314"/>
      <c r="P469" s="314"/>
      <c r="Q469" s="313"/>
      <c r="R469" s="314"/>
      <c r="S469" s="314"/>
      <c r="T469" s="314"/>
      <c r="U469" s="314"/>
      <c r="V469" s="315"/>
    </row>
    <row r="470" spans="1:22">
      <c r="A470" s="310"/>
      <c r="B470" s="316"/>
      <c r="C470" s="317"/>
      <c r="D470" s="318"/>
      <c r="E470" s="318"/>
      <c r="F470" s="318"/>
      <c r="G470" s="318"/>
      <c r="H470" s="318"/>
      <c r="I470" s="318"/>
      <c r="J470" s="320"/>
      <c r="K470" s="320"/>
      <c r="L470" s="318"/>
      <c r="M470" s="318"/>
      <c r="N470" s="318"/>
      <c r="O470" s="320"/>
      <c r="P470" s="320"/>
      <c r="Q470" s="318"/>
      <c r="R470" s="320"/>
      <c r="S470" s="320"/>
      <c r="T470" s="320"/>
      <c r="U470" s="320"/>
      <c r="V470" s="315"/>
    </row>
    <row r="471" spans="1:22">
      <c r="A471" s="310"/>
      <c r="B471" s="55"/>
      <c r="C471" s="307"/>
      <c r="D471" s="308"/>
      <c r="E471" s="308"/>
      <c r="F471" s="308"/>
      <c r="G471" s="308"/>
      <c r="H471" s="308"/>
      <c r="I471" s="308"/>
      <c r="J471" s="309"/>
      <c r="K471" s="309"/>
      <c r="L471" s="308"/>
      <c r="M471" s="308"/>
      <c r="N471" s="308"/>
      <c r="O471" s="309"/>
      <c r="P471" s="309"/>
      <c r="Q471" s="308"/>
      <c r="R471" s="309"/>
      <c r="S471" s="309"/>
      <c r="T471" s="309"/>
      <c r="U471" s="309"/>
      <c r="V471" s="315"/>
    </row>
    <row r="472" spans="1:22">
      <c r="A472" s="310"/>
      <c r="B472" s="311"/>
      <c r="C472" s="312"/>
      <c r="D472" s="313"/>
      <c r="E472" s="313"/>
      <c r="F472" s="313"/>
      <c r="G472" s="313"/>
      <c r="H472" s="313"/>
      <c r="I472" s="313"/>
      <c r="J472" s="314"/>
      <c r="K472" s="314"/>
      <c r="L472" s="313"/>
      <c r="M472" s="313"/>
      <c r="N472" s="313"/>
      <c r="O472" s="314"/>
      <c r="P472" s="314"/>
      <c r="Q472" s="313"/>
      <c r="R472" s="314"/>
      <c r="S472" s="314"/>
      <c r="T472" s="314"/>
      <c r="U472" s="314"/>
      <c r="V472" s="315"/>
    </row>
    <row r="473" spans="1:22" ht="15" thickBot="1">
      <c r="A473" s="326"/>
      <c r="B473" s="327"/>
      <c r="C473" s="328"/>
      <c r="D473" s="329"/>
      <c r="E473" s="329"/>
      <c r="F473" s="329"/>
      <c r="G473" s="329"/>
      <c r="H473" s="329"/>
      <c r="I473" s="329"/>
      <c r="J473" s="330"/>
      <c r="K473" s="330"/>
      <c r="L473" s="329"/>
      <c r="M473" s="329"/>
      <c r="N473" s="329"/>
      <c r="O473" s="330"/>
      <c r="P473" s="330"/>
      <c r="Q473" s="329"/>
      <c r="R473" s="330"/>
      <c r="S473" s="330"/>
      <c r="T473" s="330"/>
      <c r="U473" s="330"/>
      <c r="V473" s="315"/>
    </row>
    <row r="474" spans="1:22">
      <c r="A474" s="306"/>
      <c r="B474" s="55"/>
      <c r="C474" s="307"/>
      <c r="D474" s="308"/>
      <c r="E474" s="308"/>
      <c r="F474" s="308"/>
      <c r="G474" s="308"/>
      <c r="H474" s="308"/>
      <c r="I474" s="308"/>
      <c r="J474" s="309"/>
      <c r="K474" s="309"/>
      <c r="L474" s="308"/>
      <c r="M474" s="308"/>
      <c r="N474" s="308"/>
      <c r="O474" s="309"/>
      <c r="P474" s="309"/>
      <c r="Q474" s="308"/>
      <c r="R474" s="309"/>
      <c r="S474" s="309"/>
      <c r="T474" s="309"/>
      <c r="U474" s="309"/>
      <c r="V474" s="315"/>
    </row>
    <row r="475" spans="1:22">
      <c r="A475" s="310"/>
      <c r="B475" s="311"/>
      <c r="C475" s="312"/>
      <c r="D475" s="313"/>
      <c r="E475" s="313"/>
      <c r="F475" s="313"/>
      <c r="G475" s="313"/>
      <c r="H475" s="313"/>
      <c r="I475" s="313"/>
      <c r="J475" s="314"/>
      <c r="K475" s="314"/>
      <c r="L475" s="313"/>
      <c r="M475" s="313"/>
      <c r="N475" s="313"/>
      <c r="O475" s="314"/>
      <c r="P475" s="314"/>
      <c r="Q475" s="313"/>
      <c r="R475" s="314"/>
      <c r="S475" s="314"/>
      <c r="T475" s="314"/>
      <c r="U475" s="314"/>
      <c r="V475" s="315"/>
    </row>
    <row r="476" spans="1:22">
      <c r="A476" s="310"/>
      <c r="B476" s="316"/>
      <c r="C476" s="317"/>
      <c r="D476" s="318"/>
      <c r="E476" s="318"/>
      <c r="F476" s="318"/>
      <c r="G476" s="318"/>
      <c r="H476" s="318"/>
      <c r="I476" s="318"/>
      <c r="J476" s="320"/>
      <c r="K476" s="320"/>
      <c r="L476" s="318"/>
      <c r="M476" s="318"/>
      <c r="N476" s="318"/>
      <c r="O476" s="320"/>
      <c r="P476" s="320"/>
      <c r="Q476" s="318"/>
      <c r="R476" s="320"/>
      <c r="S476" s="320"/>
      <c r="T476" s="320"/>
      <c r="U476" s="320"/>
      <c r="V476" s="315"/>
    </row>
    <row r="477" spans="1:22">
      <c r="A477" s="310"/>
      <c r="B477" s="55"/>
      <c r="C477" s="307"/>
      <c r="D477" s="308"/>
      <c r="E477" s="308"/>
      <c r="F477" s="308"/>
      <c r="G477" s="308"/>
      <c r="H477" s="308"/>
      <c r="I477" s="308"/>
      <c r="J477" s="309"/>
      <c r="K477" s="309"/>
      <c r="L477" s="308"/>
      <c r="M477" s="308"/>
      <c r="N477" s="308"/>
      <c r="O477" s="309"/>
      <c r="P477" s="309"/>
      <c r="Q477" s="308"/>
      <c r="R477" s="309"/>
      <c r="S477" s="309"/>
      <c r="T477" s="309"/>
      <c r="U477" s="309"/>
      <c r="V477" s="315"/>
    </row>
    <row r="478" spans="1:22">
      <c r="A478" s="310"/>
      <c r="B478" s="311"/>
      <c r="C478" s="312"/>
      <c r="D478" s="313"/>
      <c r="E478" s="313"/>
      <c r="F478" s="313"/>
      <c r="G478" s="313"/>
      <c r="H478" s="313"/>
      <c r="I478" s="313"/>
      <c r="J478" s="314"/>
      <c r="K478" s="314"/>
      <c r="L478" s="313"/>
      <c r="M478" s="313"/>
      <c r="N478" s="313"/>
      <c r="O478" s="314"/>
      <c r="P478" s="314"/>
      <c r="Q478" s="313"/>
      <c r="R478" s="314"/>
      <c r="S478" s="314"/>
      <c r="T478" s="314"/>
      <c r="U478" s="314"/>
      <c r="V478" s="315"/>
    </row>
    <row r="479" spans="1:22">
      <c r="A479" s="310"/>
      <c r="B479" s="316"/>
      <c r="C479" s="317"/>
      <c r="D479" s="318"/>
      <c r="E479" s="318"/>
      <c r="F479" s="318"/>
      <c r="G479" s="318"/>
      <c r="H479" s="318"/>
      <c r="I479" s="318"/>
      <c r="J479" s="320"/>
      <c r="K479" s="320"/>
      <c r="L479" s="318"/>
      <c r="M479" s="318"/>
      <c r="N479" s="318"/>
      <c r="O479" s="320"/>
      <c r="P479" s="320"/>
      <c r="Q479" s="318"/>
      <c r="R479" s="320"/>
      <c r="S479" s="320"/>
      <c r="T479" s="320"/>
      <c r="U479" s="320"/>
      <c r="V479" s="315"/>
    </row>
    <row r="480" spans="1:22">
      <c r="A480" s="310"/>
      <c r="B480" s="55"/>
      <c r="C480" s="307"/>
      <c r="D480" s="308"/>
      <c r="E480" s="308"/>
      <c r="F480" s="308"/>
      <c r="G480" s="308"/>
      <c r="H480" s="308"/>
      <c r="I480" s="308"/>
      <c r="J480" s="309"/>
      <c r="K480" s="309"/>
      <c r="L480" s="308"/>
      <c r="M480" s="308"/>
      <c r="N480" s="308"/>
      <c r="O480" s="309"/>
      <c r="P480" s="309"/>
      <c r="Q480" s="308"/>
      <c r="R480" s="309"/>
      <c r="S480" s="309"/>
      <c r="T480" s="309"/>
      <c r="U480" s="309"/>
      <c r="V480" s="315"/>
    </row>
    <row r="481" spans="1:22">
      <c r="A481" s="310"/>
      <c r="B481" s="311"/>
      <c r="C481" s="312"/>
      <c r="D481" s="313"/>
      <c r="E481" s="313"/>
      <c r="F481" s="313"/>
      <c r="G481" s="313"/>
      <c r="H481" s="313"/>
      <c r="I481" s="313"/>
      <c r="J481" s="314"/>
      <c r="K481" s="314"/>
      <c r="L481" s="313"/>
      <c r="M481" s="313"/>
      <c r="N481" s="313"/>
      <c r="O481" s="314"/>
      <c r="P481" s="314"/>
      <c r="Q481" s="313"/>
      <c r="R481" s="314"/>
      <c r="S481" s="314"/>
      <c r="T481" s="314"/>
      <c r="U481" s="314"/>
      <c r="V481" s="315"/>
    </row>
    <row r="482" spans="1:22">
      <c r="A482" s="310"/>
      <c r="B482" s="316"/>
      <c r="C482" s="317"/>
      <c r="D482" s="318"/>
      <c r="E482" s="318"/>
      <c r="F482" s="318"/>
      <c r="G482" s="318"/>
      <c r="H482" s="318"/>
      <c r="I482" s="318"/>
      <c r="J482" s="320"/>
      <c r="K482" s="320"/>
      <c r="L482" s="318"/>
      <c r="M482" s="318"/>
      <c r="N482" s="318"/>
      <c r="O482" s="320"/>
      <c r="P482" s="320"/>
      <c r="Q482" s="318"/>
      <c r="R482" s="320"/>
      <c r="S482" s="320"/>
      <c r="T482" s="320"/>
      <c r="U482" s="320"/>
      <c r="V482" s="315"/>
    </row>
    <row r="483" spans="1:22">
      <c r="A483" s="310"/>
      <c r="B483" s="55"/>
      <c r="C483" s="307"/>
      <c r="D483" s="308"/>
      <c r="E483" s="308"/>
      <c r="F483" s="308"/>
      <c r="G483" s="308"/>
      <c r="H483" s="308"/>
      <c r="I483" s="308"/>
      <c r="J483" s="309"/>
      <c r="K483" s="309"/>
      <c r="L483" s="308"/>
      <c r="M483" s="308"/>
      <c r="N483" s="308"/>
      <c r="O483" s="309"/>
      <c r="P483" s="309"/>
      <c r="Q483" s="308"/>
      <c r="R483" s="309"/>
      <c r="S483" s="309"/>
      <c r="T483" s="309"/>
      <c r="U483" s="309"/>
      <c r="V483" s="315"/>
    </row>
    <row r="484" spans="1:22">
      <c r="A484" s="310"/>
      <c r="B484" s="311"/>
      <c r="C484" s="312"/>
      <c r="D484" s="313"/>
      <c r="E484" s="313"/>
      <c r="F484" s="313"/>
      <c r="G484" s="313"/>
      <c r="H484" s="313"/>
      <c r="I484" s="313"/>
      <c r="J484" s="314"/>
      <c r="K484" s="314"/>
      <c r="L484" s="313"/>
      <c r="M484" s="313"/>
      <c r="N484" s="313"/>
      <c r="O484" s="314"/>
      <c r="P484" s="314"/>
      <c r="Q484" s="313"/>
      <c r="R484" s="314"/>
      <c r="S484" s="314"/>
      <c r="T484" s="314"/>
      <c r="U484" s="314"/>
      <c r="V484" s="315"/>
    </row>
    <row r="485" spans="1:22">
      <c r="A485" s="310"/>
      <c r="B485" s="316"/>
      <c r="C485" s="317"/>
      <c r="D485" s="318"/>
      <c r="E485" s="318"/>
      <c r="F485" s="318"/>
      <c r="G485" s="318"/>
      <c r="H485" s="318"/>
      <c r="I485" s="318"/>
      <c r="J485" s="320"/>
      <c r="K485" s="320"/>
      <c r="L485" s="318"/>
      <c r="M485" s="318"/>
      <c r="N485" s="318"/>
      <c r="O485" s="320"/>
      <c r="P485" s="320"/>
      <c r="Q485" s="318"/>
      <c r="R485" s="320"/>
      <c r="S485" s="320"/>
      <c r="T485" s="320"/>
      <c r="U485" s="320"/>
      <c r="V485" s="315"/>
    </row>
    <row r="486" spans="1:22">
      <c r="A486" s="310"/>
      <c r="B486" s="55"/>
      <c r="C486" s="307"/>
      <c r="D486" s="308"/>
      <c r="E486" s="308"/>
      <c r="F486" s="308"/>
      <c r="G486" s="308"/>
      <c r="H486" s="308"/>
      <c r="I486" s="308"/>
      <c r="J486" s="309"/>
      <c r="K486" s="309"/>
      <c r="L486" s="308"/>
      <c r="M486" s="308"/>
      <c r="N486" s="308"/>
      <c r="O486" s="309"/>
      <c r="P486" s="309"/>
      <c r="Q486" s="308"/>
      <c r="R486" s="309"/>
      <c r="S486" s="309"/>
      <c r="T486" s="309"/>
      <c r="U486" s="309"/>
      <c r="V486" s="315"/>
    </row>
    <row r="487" spans="1:22">
      <c r="A487" s="310"/>
      <c r="B487" s="311"/>
      <c r="C487" s="312"/>
      <c r="D487" s="313"/>
      <c r="E487" s="313"/>
      <c r="F487" s="313"/>
      <c r="G487" s="313"/>
      <c r="H487" s="313"/>
      <c r="I487" s="313"/>
      <c r="J487" s="314"/>
      <c r="K487" s="314"/>
      <c r="L487" s="313"/>
      <c r="M487" s="313"/>
      <c r="N487" s="313"/>
      <c r="O487" s="314"/>
      <c r="P487" s="314"/>
      <c r="Q487" s="313"/>
      <c r="R487" s="314"/>
      <c r="S487" s="314"/>
      <c r="T487" s="314"/>
      <c r="U487" s="314"/>
      <c r="V487" s="315"/>
    </row>
    <row r="488" spans="1:22">
      <c r="A488" s="310"/>
      <c r="B488" s="316"/>
      <c r="C488" s="317"/>
      <c r="D488" s="318"/>
      <c r="E488" s="318"/>
      <c r="F488" s="318"/>
      <c r="G488" s="318"/>
      <c r="H488" s="318"/>
      <c r="I488" s="318"/>
      <c r="J488" s="320"/>
      <c r="K488" s="320"/>
      <c r="L488" s="318"/>
      <c r="M488" s="318"/>
      <c r="N488" s="318"/>
      <c r="O488" s="320"/>
      <c r="P488" s="320"/>
      <c r="Q488" s="318"/>
      <c r="R488" s="320"/>
      <c r="S488" s="320"/>
      <c r="T488" s="320"/>
      <c r="U488" s="320"/>
      <c r="V488" s="315"/>
    </row>
    <row r="489" spans="1:22">
      <c r="A489" s="310"/>
      <c r="B489" s="55"/>
      <c r="C489" s="307"/>
      <c r="D489" s="308"/>
      <c r="E489" s="308"/>
      <c r="F489" s="308"/>
      <c r="G489" s="308"/>
      <c r="H489" s="308"/>
      <c r="I489" s="308"/>
      <c r="J489" s="309"/>
      <c r="K489" s="309"/>
      <c r="L489" s="308"/>
      <c r="M489" s="308"/>
      <c r="N489" s="308"/>
      <c r="O489" s="309"/>
      <c r="P489" s="309"/>
      <c r="Q489" s="308"/>
      <c r="R489" s="309"/>
      <c r="S489" s="309"/>
      <c r="T489" s="309"/>
      <c r="U489" s="309"/>
      <c r="V489" s="315"/>
    </row>
    <row r="490" spans="1:22">
      <c r="A490" s="310"/>
      <c r="B490" s="311"/>
      <c r="C490" s="312"/>
      <c r="D490" s="313"/>
      <c r="E490" s="313"/>
      <c r="F490" s="313"/>
      <c r="G490" s="313"/>
      <c r="H490" s="313"/>
      <c r="I490" s="313"/>
      <c r="J490" s="314"/>
      <c r="K490" s="314"/>
      <c r="L490" s="313"/>
      <c r="M490" s="313"/>
      <c r="N490" s="313"/>
      <c r="O490" s="314"/>
      <c r="P490" s="314"/>
      <c r="Q490" s="313"/>
      <c r="R490" s="314"/>
      <c r="S490" s="314"/>
      <c r="T490" s="314"/>
      <c r="U490" s="314"/>
      <c r="V490" s="315"/>
    </row>
    <row r="491" spans="1:22" ht="15" thickBot="1">
      <c r="A491" s="310"/>
      <c r="B491" s="322"/>
      <c r="C491" s="323"/>
      <c r="D491" s="324"/>
      <c r="E491" s="324"/>
      <c r="F491" s="324"/>
      <c r="G491" s="324"/>
      <c r="H491" s="324"/>
      <c r="I491" s="324"/>
      <c r="J491" s="325"/>
      <c r="K491" s="325"/>
      <c r="L491" s="324"/>
      <c r="M491" s="324"/>
      <c r="N491" s="324"/>
      <c r="O491" s="325"/>
      <c r="P491" s="325"/>
      <c r="Q491" s="324"/>
      <c r="R491" s="325"/>
      <c r="S491" s="325"/>
      <c r="T491" s="325"/>
      <c r="U491" s="325"/>
      <c r="V491" s="315"/>
    </row>
    <row r="492" spans="1:22" ht="15" thickTop="1">
      <c r="A492" s="310"/>
      <c r="B492" s="311"/>
      <c r="C492" s="312"/>
      <c r="D492" s="313"/>
      <c r="E492" s="313"/>
      <c r="F492" s="313"/>
      <c r="G492" s="313"/>
      <c r="H492" s="313"/>
      <c r="I492" s="313"/>
      <c r="J492" s="314"/>
      <c r="K492" s="314"/>
      <c r="L492" s="313"/>
      <c r="M492" s="313"/>
      <c r="N492" s="313"/>
      <c r="O492" s="314"/>
      <c r="P492" s="314"/>
      <c r="Q492" s="313"/>
      <c r="R492" s="314"/>
      <c r="S492" s="314"/>
      <c r="T492" s="314"/>
      <c r="U492" s="314"/>
      <c r="V492" s="315"/>
    </row>
    <row r="493" spans="1:22">
      <c r="A493" s="310"/>
      <c r="B493" s="311"/>
      <c r="C493" s="312"/>
      <c r="D493" s="313"/>
      <c r="E493" s="313"/>
      <c r="F493" s="313"/>
      <c r="G493" s="313"/>
      <c r="H493" s="313"/>
      <c r="I493" s="313"/>
      <c r="J493" s="314"/>
      <c r="K493" s="314"/>
      <c r="L493" s="313"/>
      <c r="M493" s="313"/>
      <c r="N493" s="313"/>
      <c r="O493" s="314"/>
      <c r="P493" s="314"/>
      <c r="Q493" s="313"/>
      <c r="R493" s="314"/>
      <c r="S493" s="314"/>
      <c r="T493" s="314"/>
      <c r="U493" s="314"/>
      <c r="V493" s="315"/>
    </row>
    <row r="494" spans="1:22">
      <c r="A494" s="310"/>
      <c r="B494" s="316"/>
      <c r="C494" s="317"/>
      <c r="D494" s="318"/>
      <c r="E494" s="318"/>
      <c r="F494" s="318"/>
      <c r="G494" s="318"/>
      <c r="H494" s="318"/>
      <c r="I494" s="318"/>
      <c r="J494" s="320"/>
      <c r="K494" s="320"/>
      <c r="L494" s="318"/>
      <c r="M494" s="318"/>
      <c r="N494" s="318"/>
      <c r="O494" s="320"/>
      <c r="P494" s="320"/>
      <c r="Q494" s="318"/>
      <c r="R494" s="320"/>
      <c r="S494" s="320"/>
      <c r="T494" s="320"/>
      <c r="U494" s="320"/>
      <c r="V494" s="315"/>
    </row>
    <row r="495" spans="1:22">
      <c r="A495" s="310"/>
      <c r="B495" s="55"/>
      <c r="C495" s="307"/>
      <c r="D495" s="308"/>
      <c r="E495" s="308"/>
      <c r="F495" s="308"/>
      <c r="G495" s="308"/>
      <c r="H495" s="308"/>
      <c r="I495" s="308"/>
      <c r="J495" s="309"/>
      <c r="K495" s="309"/>
      <c r="L495" s="308"/>
      <c r="M495" s="308"/>
      <c r="N495" s="308"/>
      <c r="O495" s="309"/>
      <c r="P495" s="309"/>
      <c r="Q495" s="308"/>
      <c r="R495" s="309"/>
      <c r="S495" s="309"/>
      <c r="T495" s="309"/>
      <c r="U495" s="309"/>
      <c r="V495" s="315"/>
    </row>
    <row r="496" spans="1:22">
      <c r="A496" s="310"/>
      <c r="B496" s="311"/>
      <c r="C496" s="312"/>
      <c r="D496" s="313"/>
      <c r="E496" s="313"/>
      <c r="F496" s="313"/>
      <c r="G496" s="313"/>
      <c r="H496" s="313"/>
      <c r="I496" s="313"/>
      <c r="J496" s="314"/>
      <c r="K496" s="314"/>
      <c r="L496" s="313"/>
      <c r="M496" s="313"/>
      <c r="N496" s="313"/>
      <c r="O496" s="314"/>
      <c r="P496" s="314"/>
      <c r="Q496" s="313"/>
      <c r="R496" s="314"/>
      <c r="S496" s="314"/>
      <c r="T496" s="314"/>
      <c r="U496" s="314"/>
      <c r="V496" s="315"/>
    </row>
    <row r="497" spans="1:22">
      <c r="A497" s="310"/>
      <c r="B497" s="316"/>
      <c r="C497" s="317"/>
      <c r="D497" s="318"/>
      <c r="E497" s="318"/>
      <c r="F497" s="318"/>
      <c r="G497" s="318"/>
      <c r="H497" s="318"/>
      <c r="I497" s="318"/>
      <c r="J497" s="320"/>
      <c r="K497" s="320"/>
      <c r="L497" s="318"/>
      <c r="M497" s="318"/>
      <c r="N497" s="318"/>
      <c r="O497" s="320"/>
      <c r="P497" s="320"/>
      <c r="Q497" s="318"/>
      <c r="R497" s="320"/>
      <c r="S497" s="320"/>
      <c r="T497" s="320"/>
      <c r="U497" s="320"/>
      <c r="V497" s="315"/>
    </row>
    <row r="498" spans="1:22">
      <c r="A498" s="310"/>
      <c r="B498" s="55"/>
      <c r="C498" s="307"/>
      <c r="D498" s="308"/>
      <c r="E498" s="308"/>
      <c r="F498" s="308"/>
      <c r="G498" s="308"/>
      <c r="H498" s="308"/>
      <c r="I498" s="308"/>
      <c r="J498" s="309"/>
      <c r="K498" s="309"/>
      <c r="L498" s="308"/>
      <c r="M498" s="308"/>
      <c r="N498" s="308"/>
      <c r="O498" s="309"/>
      <c r="P498" s="309"/>
      <c r="Q498" s="308"/>
      <c r="R498" s="309"/>
      <c r="S498" s="309"/>
      <c r="T498" s="309"/>
      <c r="U498" s="309"/>
      <c r="V498" s="315"/>
    </row>
    <row r="499" spans="1:22">
      <c r="A499" s="310"/>
      <c r="B499" s="311"/>
      <c r="C499" s="312"/>
      <c r="D499" s="313"/>
      <c r="E499" s="313"/>
      <c r="F499" s="313"/>
      <c r="G499" s="313"/>
      <c r="H499" s="313"/>
      <c r="I499" s="313"/>
      <c r="J499" s="314"/>
      <c r="K499" s="314"/>
      <c r="L499" s="313"/>
      <c r="M499" s="313"/>
      <c r="N499" s="313"/>
      <c r="O499" s="314"/>
      <c r="P499" s="314"/>
      <c r="Q499" s="313"/>
      <c r="R499" s="314"/>
      <c r="S499" s="314"/>
      <c r="T499" s="314"/>
      <c r="U499" s="314"/>
      <c r="V499" s="315"/>
    </row>
    <row r="500" spans="1:22">
      <c r="A500" s="310"/>
      <c r="B500" s="316"/>
      <c r="C500" s="317"/>
      <c r="D500" s="318"/>
      <c r="E500" s="318"/>
      <c r="F500" s="318"/>
      <c r="G500" s="318"/>
      <c r="H500" s="318"/>
      <c r="I500" s="318"/>
      <c r="J500" s="320"/>
      <c r="K500" s="320"/>
      <c r="L500" s="318"/>
      <c r="M500" s="318"/>
      <c r="N500" s="318"/>
      <c r="O500" s="320"/>
      <c r="P500" s="320"/>
      <c r="Q500" s="318"/>
      <c r="R500" s="320"/>
      <c r="S500" s="320"/>
      <c r="T500" s="320"/>
      <c r="U500" s="320"/>
      <c r="V500" s="315"/>
    </row>
    <row r="501" spans="1:22">
      <c r="A501" s="310"/>
      <c r="B501" s="55"/>
      <c r="C501" s="307"/>
      <c r="D501" s="308"/>
      <c r="E501" s="308"/>
      <c r="F501" s="308"/>
      <c r="G501" s="308"/>
      <c r="H501" s="308"/>
      <c r="I501" s="308"/>
      <c r="J501" s="309"/>
      <c r="K501" s="309"/>
      <c r="L501" s="308"/>
      <c r="M501" s="308"/>
      <c r="N501" s="308"/>
      <c r="O501" s="309"/>
      <c r="P501" s="309"/>
      <c r="Q501" s="308"/>
      <c r="R501" s="309"/>
      <c r="S501" s="309"/>
      <c r="T501" s="309"/>
      <c r="U501" s="309"/>
      <c r="V501" s="315"/>
    </row>
    <row r="502" spans="1:22">
      <c r="A502" s="310"/>
      <c r="B502" s="311"/>
      <c r="C502" s="312"/>
      <c r="D502" s="313"/>
      <c r="E502" s="313"/>
      <c r="F502" s="313"/>
      <c r="G502" s="313"/>
      <c r="H502" s="313"/>
      <c r="I502" s="313"/>
      <c r="J502" s="314"/>
      <c r="K502" s="314"/>
      <c r="L502" s="313"/>
      <c r="M502" s="313"/>
      <c r="N502" s="313"/>
      <c r="O502" s="314"/>
      <c r="P502" s="314"/>
      <c r="Q502" s="313"/>
      <c r="R502" s="314"/>
      <c r="S502" s="314"/>
      <c r="T502" s="314"/>
      <c r="U502" s="314"/>
      <c r="V502" s="315"/>
    </row>
    <row r="503" spans="1:22">
      <c r="A503" s="310"/>
      <c r="B503" s="316"/>
      <c r="C503" s="317"/>
      <c r="D503" s="318"/>
      <c r="E503" s="318"/>
      <c r="F503" s="318"/>
      <c r="G503" s="318"/>
      <c r="H503" s="318"/>
      <c r="I503" s="318"/>
      <c r="J503" s="320"/>
      <c r="K503" s="320"/>
      <c r="L503" s="318"/>
      <c r="M503" s="318"/>
      <c r="N503" s="318"/>
      <c r="O503" s="320"/>
      <c r="P503" s="320"/>
      <c r="Q503" s="318"/>
      <c r="R503" s="320"/>
      <c r="S503" s="320"/>
      <c r="T503" s="320"/>
      <c r="U503" s="320"/>
      <c r="V503" s="315"/>
    </row>
    <row r="504" spans="1:22">
      <c r="A504" s="310"/>
      <c r="B504" s="55"/>
      <c r="C504" s="307"/>
      <c r="D504" s="308"/>
      <c r="E504" s="308"/>
      <c r="F504" s="308"/>
      <c r="G504" s="308"/>
      <c r="H504" s="308"/>
      <c r="I504" s="308"/>
      <c r="J504" s="309"/>
      <c r="K504" s="309"/>
      <c r="L504" s="308"/>
      <c r="M504" s="308"/>
      <c r="N504" s="308"/>
      <c r="O504" s="309"/>
      <c r="P504" s="309"/>
      <c r="Q504" s="308"/>
      <c r="R504" s="309"/>
      <c r="S504" s="309"/>
      <c r="T504" s="309"/>
      <c r="U504" s="309"/>
      <c r="V504" s="315"/>
    </row>
    <row r="505" spans="1:22">
      <c r="A505" s="310"/>
      <c r="B505" s="311"/>
      <c r="C505" s="312"/>
      <c r="D505" s="313"/>
      <c r="E505" s="313"/>
      <c r="F505" s="313"/>
      <c r="G505" s="313"/>
      <c r="H505" s="313"/>
      <c r="I505" s="313"/>
      <c r="J505" s="314"/>
      <c r="K505" s="314"/>
      <c r="L505" s="313"/>
      <c r="M505" s="313"/>
      <c r="N505" s="313"/>
      <c r="O505" s="314"/>
      <c r="P505" s="314"/>
      <c r="Q505" s="313"/>
      <c r="R505" s="314"/>
      <c r="S505" s="314"/>
      <c r="T505" s="314"/>
      <c r="U505" s="314"/>
      <c r="V505" s="315"/>
    </row>
    <row r="506" spans="1:22">
      <c r="A506" s="310"/>
      <c r="B506" s="316"/>
      <c r="C506" s="317"/>
      <c r="D506" s="318"/>
      <c r="E506" s="318"/>
      <c r="F506" s="318"/>
      <c r="G506" s="318"/>
      <c r="H506" s="318"/>
      <c r="I506" s="318"/>
      <c r="J506" s="320"/>
      <c r="K506" s="320"/>
      <c r="L506" s="318"/>
      <c r="M506" s="318"/>
      <c r="N506" s="318"/>
      <c r="O506" s="320"/>
      <c r="P506" s="320"/>
      <c r="Q506" s="318"/>
      <c r="R506" s="320"/>
      <c r="S506" s="320"/>
      <c r="T506" s="320"/>
      <c r="U506" s="320"/>
      <c r="V506" s="315"/>
    </row>
    <row r="507" spans="1:22">
      <c r="A507" s="310"/>
      <c r="B507" s="55"/>
      <c r="C507" s="307"/>
      <c r="D507" s="308"/>
      <c r="E507" s="308"/>
      <c r="F507" s="308"/>
      <c r="G507" s="308"/>
      <c r="H507" s="308"/>
      <c r="I507" s="308"/>
      <c r="J507" s="309"/>
      <c r="K507" s="309"/>
      <c r="L507" s="308"/>
      <c r="M507" s="308"/>
      <c r="N507" s="308"/>
      <c r="O507" s="309"/>
      <c r="P507" s="309"/>
      <c r="Q507" s="308"/>
      <c r="R507" s="309"/>
      <c r="S507" s="309"/>
      <c r="T507" s="309"/>
      <c r="U507" s="309"/>
      <c r="V507" s="315"/>
    </row>
    <row r="508" spans="1:22">
      <c r="A508" s="310"/>
      <c r="B508" s="311"/>
      <c r="C508" s="312"/>
      <c r="D508" s="313"/>
      <c r="E508" s="313"/>
      <c r="F508" s="313"/>
      <c r="G508" s="313"/>
      <c r="H508" s="313"/>
      <c r="I508" s="313"/>
      <c r="J508" s="314"/>
      <c r="K508" s="314"/>
      <c r="L508" s="313"/>
      <c r="M508" s="313"/>
      <c r="N508" s="313"/>
      <c r="O508" s="314"/>
      <c r="P508" s="314"/>
      <c r="Q508" s="313"/>
      <c r="R508" s="314"/>
      <c r="S508" s="314"/>
      <c r="T508" s="314"/>
      <c r="U508" s="314"/>
      <c r="V508" s="315"/>
    </row>
    <row r="509" spans="1:22" ht="15" thickBot="1">
      <c r="A509" s="326"/>
      <c r="B509" s="327"/>
      <c r="C509" s="328"/>
      <c r="D509" s="329"/>
      <c r="E509" s="329"/>
      <c r="F509" s="329"/>
      <c r="G509" s="329"/>
      <c r="H509" s="329"/>
      <c r="I509" s="329"/>
      <c r="J509" s="330"/>
      <c r="K509" s="330"/>
      <c r="L509" s="329"/>
      <c r="M509" s="329"/>
      <c r="N509" s="329"/>
      <c r="O509" s="330"/>
      <c r="P509" s="330"/>
      <c r="Q509" s="329"/>
      <c r="R509" s="330"/>
      <c r="S509" s="330"/>
      <c r="T509" s="330"/>
      <c r="U509" s="330"/>
      <c r="V509" s="315"/>
    </row>
    <row r="510" spans="1:22">
      <c r="A510" s="306"/>
      <c r="B510" s="55"/>
      <c r="C510" s="307"/>
      <c r="D510" s="308"/>
      <c r="E510" s="308"/>
      <c r="F510" s="308"/>
      <c r="G510" s="308"/>
      <c r="H510" s="308"/>
      <c r="I510" s="308"/>
      <c r="J510" s="309"/>
      <c r="K510" s="309"/>
      <c r="L510" s="308"/>
      <c r="M510" s="308"/>
      <c r="N510" s="308"/>
      <c r="O510" s="309"/>
      <c r="P510" s="309"/>
      <c r="Q510" s="308"/>
      <c r="R510" s="309"/>
      <c r="S510" s="309"/>
      <c r="T510" s="309"/>
      <c r="U510" s="309"/>
      <c r="V510" s="315"/>
    </row>
    <row r="511" spans="1:22">
      <c r="A511" s="310"/>
      <c r="B511" s="311"/>
      <c r="C511" s="312"/>
      <c r="D511" s="313"/>
      <c r="E511" s="313"/>
      <c r="F511" s="313"/>
      <c r="G511" s="313"/>
      <c r="H511" s="313"/>
      <c r="I511" s="313"/>
      <c r="J511" s="314"/>
      <c r="K511" s="314"/>
      <c r="L511" s="313"/>
      <c r="M511" s="313"/>
      <c r="N511" s="313"/>
      <c r="O511" s="314"/>
      <c r="P511" s="314"/>
      <c r="Q511" s="313"/>
      <c r="R511" s="314"/>
      <c r="S511" s="314"/>
      <c r="T511" s="314"/>
      <c r="U511" s="314"/>
      <c r="V511" s="315"/>
    </row>
    <row r="512" spans="1:22">
      <c r="A512" s="310"/>
      <c r="B512" s="316"/>
      <c r="C512" s="317"/>
      <c r="D512" s="318"/>
      <c r="E512" s="318"/>
      <c r="F512" s="318"/>
      <c r="G512" s="318"/>
      <c r="H512" s="318"/>
      <c r="I512" s="318"/>
      <c r="J512" s="320"/>
      <c r="K512" s="320"/>
      <c r="L512" s="318"/>
      <c r="M512" s="318"/>
      <c r="N512" s="318"/>
      <c r="O512" s="320"/>
      <c r="P512" s="320"/>
      <c r="Q512" s="318"/>
      <c r="R512" s="320"/>
      <c r="S512" s="320"/>
      <c r="T512" s="320"/>
      <c r="U512" s="320"/>
      <c r="V512" s="315"/>
    </row>
    <row r="513" spans="1:22">
      <c r="A513" s="310"/>
      <c r="B513" s="55"/>
      <c r="C513" s="307"/>
      <c r="D513" s="308"/>
      <c r="E513" s="308"/>
      <c r="F513" s="308"/>
      <c r="G513" s="308"/>
      <c r="H513" s="308"/>
      <c r="I513" s="308"/>
      <c r="J513" s="309"/>
      <c r="K513" s="309"/>
      <c r="L513" s="308"/>
      <c r="M513" s="308"/>
      <c r="N513" s="308"/>
      <c r="O513" s="309"/>
      <c r="P513" s="309"/>
      <c r="Q513" s="308"/>
      <c r="R513" s="309"/>
      <c r="S513" s="309"/>
      <c r="T513" s="309"/>
      <c r="U513" s="309"/>
      <c r="V513" s="315"/>
    </row>
    <row r="514" spans="1:22">
      <c r="A514" s="310"/>
      <c r="B514" s="311"/>
      <c r="C514" s="312"/>
      <c r="D514" s="313"/>
      <c r="E514" s="313"/>
      <c r="F514" s="313"/>
      <c r="G514" s="313"/>
      <c r="H514" s="313"/>
      <c r="I514" s="313"/>
      <c r="J514" s="314"/>
      <c r="K514" s="314"/>
      <c r="L514" s="313"/>
      <c r="M514" s="313"/>
      <c r="N514" s="313"/>
      <c r="O514" s="314"/>
      <c r="P514" s="314"/>
      <c r="Q514" s="313"/>
      <c r="R514" s="314"/>
      <c r="S514" s="314"/>
      <c r="T514" s="314"/>
      <c r="U514" s="314"/>
      <c r="V514" s="315"/>
    </row>
    <row r="515" spans="1:22">
      <c r="A515" s="310"/>
      <c r="B515" s="316"/>
      <c r="C515" s="317"/>
      <c r="D515" s="318"/>
      <c r="E515" s="318"/>
      <c r="F515" s="318"/>
      <c r="G515" s="318"/>
      <c r="H515" s="318"/>
      <c r="I515" s="318"/>
      <c r="J515" s="320"/>
      <c r="K515" s="320"/>
      <c r="L515" s="318"/>
      <c r="M515" s="318"/>
      <c r="N515" s="318"/>
      <c r="O515" s="320"/>
      <c r="P515" s="320"/>
      <c r="Q515" s="318"/>
      <c r="R515" s="320"/>
      <c r="S515" s="320"/>
      <c r="T515" s="320"/>
      <c r="U515" s="320"/>
      <c r="V515" s="315"/>
    </row>
    <row r="516" spans="1:22">
      <c r="A516" s="310"/>
      <c r="B516" s="55"/>
      <c r="C516" s="307"/>
      <c r="D516" s="308"/>
      <c r="E516" s="308"/>
      <c r="F516" s="308"/>
      <c r="G516" s="308"/>
      <c r="H516" s="308"/>
      <c r="I516" s="308"/>
      <c r="J516" s="309"/>
      <c r="K516" s="309"/>
      <c r="L516" s="308"/>
      <c r="M516" s="308"/>
      <c r="N516" s="308"/>
      <c r="O516" s="309"/>
      <c r="P516" s="309"/>
      <c r="Q516" s="308"/>
      <c r="R516" s="309"/>
      <c r="S516" s="309"/>
      <c r="T516" s="309"/>
      <c r="U516" s="309"/>
      <c r="V516" s="315"/>
    </row>
    <row r="517" spans="1:22">
      <c r="A517" s="310"/>
      <c r="B517" s="311"/>
      <c r="C517" s="312"/>
      <c r="D517" s="313"/>
      <c r="E517" s="313"/>
      <c r="F517" s="313"/>
      <c r="G517" s="313"/>
      <c r="H517" s="313"/>
      <c r="I517" s="313"/>
      <c r="J517" s="314"/>
      <c r="K517" s="314"/>
      <c r="L517" s="313"/>
      <c r="M517" s="313"/>
      <c r="N517" s="313"/>
      <c r="O517" s="314"/>
      <c r="P517" s="314"/>
      <c r="Q517" s="313"/>
      <c r="R517" s="314"/>
      <c r="S517" s="314"/>
      <c r="T517" s="314"/>
      <c r="U517" s="314"/>
      <c r="V517" s="315"/>
    </row>
    <row r="518" spans="1:22">
      <c r="A518" s="310"/>
      <c r="B518" s="316"/>
      <c r="C518" s="317"/>
      <c r="D518" s="318"/>
      <c r="E518" s="318"/>
      <c r="F518" s="318"/>
      <c r="G518" s="318"/>
      <c r="H518" s="318"/>
      <c r="I518" s="318"/>
      <c r="J518" s="320"/>
      <c r="K518" s="320"/>
      <c r="L518" s="318"/>
      <c r="M518" s="318"/>
      <c r="N518" s="318"/>
      <c r="O518" s="320"/>
      <c r="P518" s="320"/>
      <c r="Q518" s="318"/>
      <c r="R518" s="320"/>
      <c r="S518" s="320"/>
      <c r="T518" s="320"/>
      <c r="U518" s="320"/>
      <c r="V518" s="315"/>
    </row>
    <row r="519" spans="1:22">
      <c r="A519" s="310"/>
      <c r="B519" s="55"/>
      <c r="C519" s="307"/>
      <c r="D519" s="308"/>
      <c r="E519" s="308"/>
      <c r="F519" s="308"/>
      <c r="G519" s="308"/>
      <c r="H519" s="308"/>
      <c r="I519" s="308"/>
      <c r="J519" s="309"/>
      <c r="K519" s="309"/>
      <c r="L519" s="308"/>
      <c r="M519" s="308"/>
      <c r="N519" s="308"/>
      <c r="O519" s="309"/>
      <c r="P519" s="309"/>
      <c r="Q519" s="308"/>
      <c r="R519" s="309"/>
      <c r="S519" s="309"/>
      <c r="T519" s="309"/>
      <c r="U519" s="309"/>
      <c r="V519" s="315"/>
    </row>
    <row r="520" spans="1:22">
      <c r="A520" s="310"/>
      <c r="B520" s="311"/>
      <c r="C520" s="312"/>
      <c r="D520" s="313"/>
      <c r="E520" s="313"/>
      <c r="F520" s="313"/>
      <c r="G520" s="313"/>
      <c r="H520" s="313"/>
      <c r="I520" s="313"/>
      <c r="J520" s="314"/>
      <c r="K520" s="314"/>
      <c r="L520" s="313"/>
      <c r="M520" s="313"/>
      <c r="N520" s="313"/>
      <c r="O520" s="314"/>
      <c r="P520" s="314"/>
      <c r="Q520" s="313"/>
      <c r="R520" s="314"/>
      <c r="S520" s="314"/>
      <c r="T520" s="314"/>
      <c r="U520" s="314"/>
      <c r="V520" s="315"/>
    </row>
    <row r="521" spans="1:22">
      <c r="A521" s="310"/>
      <c r="B521" s="316"/>
      <c r="C521" s="317"/>
      <c r="D521" s="318"/>
      <c r="E521" s="318"/>
      <c r="F521" s="318"/>
      <c r="G521" s="318"/>
      <c r="H521" s="318"/>
      <c r="I521" s="318"/>
      <c r="J521" s="320"/>
      <c r="K521" s="320"/>
      <c r="L521" s="318"/>
      <c r="M521" s="318"/>
      <c r="N521" s="318"/>
      <c r="O521" s="320"/>
      <c r="P521" s="320"/>
      <c r="Q521" s="318"/>
      <c r="R521" s="320"/>
      <c r="S521" s="320"/>
      <c r="T521" s="320"/>
      <c r="U521" s="320"/>
      <c r="V521" s="315"/>
    </row>
    <row r="522" spans="1:22">
      <c r="A522" s="310"/>
      <c r="B522" s="55"/>
      <c r="C522" s="307"/>
      <c r="D522" s="308"/>
      <c r="E522" s="308"/>
      <c r="F522" s="308"/>
      <c r="G522" s="308"/>
      <c r="H522" s="308"/>
      <c r="I522" s="308"/>
      <c r="J522" s="309"/>
      <c r="K522" s="309"/>
      <c r="L522" s="308"/>
      <c r="M522" s="308"/>
      <c r="N522" s="308"/>
      <c r="O522" s="309"/>
      <c r="P522" s="309"/>
      <c r="Q522" s="308"/>
      <c r="R522" s="309"/>
      <c r="S522" s="309"/>
      <c r="T522" s="309"/>
      <c r="U522" s="309"/>
      <c r="V522" s="315"/>
    </row>
    <row r="523" spans="1:22">
      <c r="A523" s="310"/>
      <c r="B523" s="311"/>
      <c r="C523" s="312"/>
      <c r="D523" s="313"/>
      <c r="E523" s="313"/>
      <c r="F523" s="313"/>
      <c r="G523" s="313"/>
      <c r="H523" s="313"/>
      <c r="I523" s="313"/>
      <c r="J523" s="314"/>
      <c r="K523" s="314"/>
      <c r="L523" s="313"/>
      <c r="M523" s="313"/>
      <c r="N523" s="313"/>
      <c r="O523" s="314"/>
      <c r="P523" s="314"/>
      <c r="Q523" s="313"/>
      <c r="R523" s="314"/>
      <c r="S523" s="314"/>
      <c r="T523" s="314"/>
      <c r="U523" s="314"/>
      <c r="V523" s="315"/>
    </row>
    <row r="524" spans="1:22">
      <c r="A524" s="310"/>
      <c r="B524" s="316"/>
      <c r="C524" s="317"/>
      <c r="D524" s="318"/>
      <c r="E524" s="318"/>
      <c r="F524" s="318"/>
      <c r="G524" s="318"/>
      <c r="H524" s="318"/>
      <c r="I524" s="318"/>
      <c r="J524" s="320"/>
      <c r="K524" s="320"/>
      <c r="L524" s="318"/>
      <c r="M524" s="318"/>
      <c r="N524" s="318"/>
      <c r="O524" s="320"/>
      <c r="P524" s="320"/>
      <c r="Q524" s="318"/>
      <c r="R524" s="320"/>
      <c r="S524" s="320"/>
      <c r="T524" s="320"/>
      <c r="U524" s="320"/>
      <c r="V524" s="315"/>
    </row>
    <row r="525" spans="1:22">
      <c r="A525" s="310"/>
      <c r="B525" s="55"/>
      <c r="C525" s="307"/>
      <c r="D525" s="308"/>
      <c r="E525" s="308"/>
      <c r="F525" s="308"/>
      <c r="G525" s="308"/>
      <c r="H525" s="308"/>
      <c r="I525" s="308"/>
      <c r="J525" s="309"/>
      <c r="K525" s="309"/>
      <c r="L525" s="308"/>
      <c r="M525" s="308"/>
      <c r="N525" s="308"/>
      <c r="O525" s="309"/>
      <c r="P525" s="309"/>
      <c r="Q525" s="308"/>
      <c r="R525" s="309"/>
      <c r="S525" s="309"/>
      <c r="T525" s="309"/>
      <c r="U525" s="309"/>
      <c r="V525" s="315"/>
    </row>
    <row r="526" spans="1:22">
      <c r="A526" s="310"/>
      <c r="B526" s="311"/>
      <c r="C526" s="312"/>
      <c r="D526" s="313"/>
      <c r="E526" s="313"/>
      <c r="F526" s="313"/>
      <c r="G526" s="313"/>
      <c r="H526" s="313"/>
      <c r="I526" s="313"/>
      <c r="J526" s="314"/>
      <c r="K526" s="314"/>
      <c r="L526" s="313"/>
      <c r="M526" s="313"/>
      <c r="N526" s="313"/>
      <c r="O526" s="314"/>
      <c r="P526" s="314"/>
      <c r="Q526" s="313"/>
      <c r="R526" s="314"/>
      <c r="S526" s="314"/>
      <c r="T526" s="314"/>
      <c r="U526" s="314"/>
      <c r="V526" s="315"/>
    </row>
    <row r="527" spans="1:22" ht="15" thickBot="1">
      <c r="A527" s="310"/>
      <c r="B527" s="322"/>
      <c r="C527" s="323"/>
      <c r="D527" s="324"/>
      <c r="E527" s="324"/>
      <c r="F527" s="324"/>
      <c r="G527" s="324"/>
      <c r="H527" s="324"/>
      <c r="I527" s="324"/>
      <c r="J527" s="325"/>
      <c r="K527" s="325"/>
      <c r="L527" s="324"/>
      <c r="M527" s="324"/>
      <c r="N527" s="324"/>
      <c r="O527" s="325"/>
      <c r="P527" s="325"/>
      <c r="Q527" s="324"/>
      <c r="R527" s="325"/>
      <c r="S527" s="325"/>
      <c r="T527" s="325"/>
      <c r="U527" s="325"/>
      <c r="V527" s="315"/>
    </row>
    <row r="528" spans="1:22" ht="15" thickTop="1">
      <c r="A528" s="310"/>
      <c r="B528" s="311"/>
      <c r="C528" s="312"/>
      <c r="D528" s="313"/>
      <c r="E528" s="313"/>
      <c r="F528" s="313"/>
      <c r="G528" s="313"/>
      <c r="H528" s="313"/>
      <c r="I528" s="313"/>
      <c r="J528" s="314"/>
      <c r="K528" s="314"/>
      <c r="L528" s="313"/>
      <c r="M528" s="313"/>
      <c r="N528" s="313"/>
      <c r="O528" s="314"/>
      <c r="P528" s="314"/>
      <c r="Q528" s="313"/>
      <c r="R528" s="314"/>
      <c r="S528" s="314"/>
      <c r="T528" s="314"/>
      <c r="U528" s="314"/>
      <c r="V528" s="315"/>
    </row>
    <row r="529" spans="1:22">
      <c r="A529" s="310"/>
      <c r="B529" s="311"/>
      <c r="C529" s="312"/>
      <c r="D529" s="313"/>
      <c r="E529" s="313"/>
      <c r="F529" s="313"/>
      <c r="G529" s="313"/>
      <c r="H529" s="313"/>
      <c r="I529" s="313"/>
      <c r="J529" s="314"/>
      <c r="K529" s="314"/>
      <c r="L529" s="313"/>
      <c r="M529" s="313"/>
      <c r="N529" s="313"/>
      <c r="O529" s="314"/>
      <c r="P529" s="314"/>
      <c r="Q529" s="313"/>
      <c r="R529" s="314"/>
      <c r="S529" s="314"/>
      <c r="T529" s="314"/>
      <c r="U529" s="314"/>
      <c r="V529" s="315"/>
    </row>
    <row r="530" spans="1:22">
      <c r="A530" s="310"/>
      <c r="B530" s="316"/>
      <c r="C530" s="317"/>
      <c r="D530" s="318"/>
      <c r="E530" s="318"/>
      <c r="F530" s="318"/>
      <c r="G530" s="318"/>
      <c r="H530" s="318"/>
      <c r="I530" s="318"/>
      <c r="J530" s="320"/>
      <c r="K530" s="320"/>
      <c r="L530" s="318"/>
      <c r="M530" s="318"/>
      <c r="N530" s="318"/>
      <c r="O530" s="320"/>
      <c r="P530" s="320"/>
      <c r="Q530" s="318"/>
      <c r="R530" s="320"/>
      <c r="S530" s="320"/>
      <c r="T530" s="320"/>
      <c r="U530" s="320"/>
      <c r="V530" s="315"/>
    </row>
    <row r="531" spans="1:22">
      <c r="A531" s="310"/>
      <c r="B531" s="55"/>
      <c r="C531" s="307"/>
      <c r="D531" s="308"/>
      <c r="E531" s="308"/>
      <c r="F531" s="308"/>
      <c r="G531" s="308"/>
      <c r="H531" s="308"/>
      <c r="I531" s="308"/>
      <c r="J531" s="309"/>
      <c r="K531" s="309"/>
      <c r="L531" s="308"/>
      <c r="M531" s="308"/>
      <c r="N531" s="308"/>
      <c r="O531" s="309"/>
      <c r="P531" s="309"/>
      <c r="Q531" s="308"/>
      <c r="R531" s="309"/>
      <c r="S531" s="309"/>
      <c r="T531" s="309"/>
      <c r="U531" s="309"/>
      <c r="V531" s="315"/>
    </row>
    <row r="532" spans="1:22">
      <c r="A532" s="310"/>
      <c r="B532" s="311"/>
      <c r="C532" s="312"/>
      <c r="D532" s="313"/>
      <c r="E532" s="313"/>
      <c r="F532" s="313"/>
      <c r="G532" s="313"/>
      <c r="H532" s="313"/>
      <c r="I532" s="313"/>
      <c r="J532" s="314"/>
      <c r="K532" s="314"/>
      <c r="L532" s="313"/>
      <c r="M532" s="313"/>
      <c r="N532" s="313"/>
      <c r="O532" s="314"/>
      <c r="P532" s="314"/>
      <c r="Q532" s="313"/>
      <c r="R532" s="314"/>
      <c r="S532" s="314"/>
      <c r="T532" s="314"/>
      <c r="U532" s="314"/>
      <c r="V532" s="315"/>
    </row>
    <row r="533" spans="1:22">
      <c r="A533" s="310"/>
      <c r="B533" s="316"/>
      <c r="C533" s="317"/>
      <c r="D533" s="318"/>
      <c r="E533" s="318"/>
      <c r="F533" s="318"/>
      <c r="G533" s="318"/>
      <c r="H533" s="318"/>
      <c r="I533" s="318"/>
      <c r="J533" s="320"/>
      <c r="K533" s="320"/>
      <c r="L533" s="318"/>
      <c r="M533" s="318"/>
      <c r="N533" s="318"/>
      <c r="O533" s="320"/>
      <c r="P533" s="320"/>
      <c r="Q533" s="318"/>
      <c r="R533" s="320"/>
      <c r="S533" s="320"/>
      <c r="T533" s="320"/>
      <c r="U533" s="320"/>
      <c r="V533" s="315"/>
    </row>
    <row r="534" spans="1:22">
      <c r="A534" s="310"/>
      <c r="B534" s="55"/>
      <c r="C534" s="307"/>
      <c r="D534" s="308"/>
      <c r="E534" s="308"/>
      <c r="F534" s="308"/>
      <c r="G534" s="308"/>
      <c r="H534" s="308"/>
      <c r="I534" s="308"/>
      <c r="J534" s="309"/>
      <c r="K534" s="309"/>
      <c r="L534" s="308"/>
      <c r="M534" s="308"/>
      <c r="N534" s="308"/>
      <c r="O534" s="309"/>
      <c r="P534" s="309"/>
      <c r="Q534" s="308"/>
      <c r="R534" s="309"/>
      <c r="S534" s="309"/>
      <c r="T534" s="309"/>
      <c r="U534" s="309"/>
      <c r="V534" s="315"/>
    </row>
    <row r="535" spans="1:22">
      <c r="A535" s="310"/>
      <c r="B535" s="311"/>
      <c r="C535" s="312"/>
      <c r="D535" s="313"/>
      <c r="E535" s="313"/>
      <c r="F535" s="313"/>
      <c r="G535" s="313"/>
      <c r="H535" s="313"/>
      <c r="I535" s="313"/>
      <c r="J535" s="314"/>
      <c r="K535" s="314"/>
      <c r="L535" s="313"/>
      <c r="M535" s="313"/>
      <c r="N535" s="313"/>
      <c r="O535" s="314"/>
      <c r="P535" s="314"/>
      <c r="Q535" s="313"/>
      <c r="R535" s="314"/>
      <c r="S535" s="314"/>
      <c r="T535" s="314"/>
      <c r="U535" s="314"/>
      <c r="V535" s="315"/>
    </row>
    <row r="536" spans="1:22">
      <c r="A536" s="310"/>
      <c r="B536" s="316"/>
      <c r="C536" s="317"/>
      <c r="D536" s="318"/>
      <c r="E536" s="318"/>
      <c r="F536" s="318"/>
      <c r="G536" s="318"/>
      <c r="H536" s="318"/>
      <c r="I536" s="318"/>
      <c r="J536" s="320"/>
      <c r="K536" s="320"/>
      <c r="L536" s="318"/>
      <c r="M536" s="318"/>
      <c r="N536" s="318"/>
      <c r="O536" s="320"/>
      <c r="P536" s="320"/>
      <c r="Q536" s="318"/>
      <c r="R536" s="320"/>
      <c r="S536" s="320"/>
      <c r="T536" s="320"/>
      <c r="U536" s="320"/>
      <c r="V536" s="315"/>
    </row>
    <row r="537" spans="1:22">
      <c r="A537" s="310"/>
      <c r="B537" s="55"/>
      <c r="C537" s="307"/>
      <c r="D537" s="308"/>
      <c r="E537" s="308"/>
      <c r="F537" s="308"/>
      <c r="G537" s="308"/>
      <c r="H537" s="308"/>
      <c r="I537" s="308"/>
      <c r="J537" s="309"/>
      <c r="K537" s="309"/>
      <c r="L537" s="308"/>
      <c r="M537" s="308"/>
      <c r="N537" s="308"/>
      <c r="O537" s="309"/>
      <c r="P537" s="309"/>
      <c r="Q537" s="308"/>
      <c r="R537" s="309"/>
      <c r="S537" s="309"/>
      <c r="T537" s="309"/>
      <c r="U537" s="309"/>
      <c r="V537" s="315"/>
    </row>
    <row r="538" spans="1:22">
      <c r="A538" s="310"/>
      <c r="B538" s="311"/>
      <c r="C538" s="312"/>
      <c r="D538" s="313"/>
      <c r="E538" s="313"/>
      <c r="F538" s="313"/>
      <c r="G538" s="313"/>
      <c r="H538" s="313"/>
      <c r="I538" s="313"/>
      <c r="J538" s="314"/>
      <c r="K538" s="314"/>
      <c r="L538" s="313"/>
      <c r="M538" s="313"/>
      <c r="N538" s="313"/>
      <c r="O538" s="314"/>
      <c r="P538" s="314"/>
      <c r="Q538" s="313"/>
      <c r="R538" s="314"/>
      <c r="S538" s="314"/>
      <c r="T538" s="314"/>
      <c r="U538" s="314"/>
      <c r="V538" s="315"/>
    </row>
    <row r="539" spans="1:22">
      <c r="A539" s="310"/>
      <c r="B539" s="316"/>
      <c r="C539" s="317"/>
      <c r="D539" s="318"/>
      <c r="E539" s="318"/>
      <c r="F539" s="318"/>
      <c r="G539" s="318"/>
      <c r="H539" s="318"/>
      <c r="I539" s="318"/>
      <c r="J539" s="320"/>
      <c r="K539" s="320"/>
      <c r="L539" s="318"/>
      <c r="M539" s="318"/>
      <c r="N539" s="318"/>
      <c r="O539" s="320"/>
      <c r="P539" s="320"/>
      <c r="Q539" s="318"/>
      <c r="R539" s="320"/>
      <c r="S539" s="320"/>
      <c r="T539" s="320"/>
      <c r="U539" s="320"/>
      <c r="V539" s="315"/>
    </row>
    <row r="540" spans="1:22">
      <c r="A540" s="310"/>
      <c r="B540" s="55"/>
      <c r="C540" s="307"/>
      <c r="D540" s="308"/>
      <c r="E540" s="308"/>
      <c r="F540" s="308"/>
      <c r="G540" s="308"/>
      <c r="H540" s="308"/>
      <c r="I540" s="308"/>
      <c r="J540" s="309"/>
      <c r="K540" s="309"/>
      <c r="L540" s="308"/>
      <c r="M540" s="308"/>
      <c r="N540" s="308"/>
      <c r="O540" s="309"/>
      <c r="P540" s="309"/>
      <c r="Q540" s="308"/>
      <c r="R540" s="309"/>
      <c r="S540" s="309"/>
      <c r="T540" s="309"/>
      <c r="U540" s="309"/>
      <c r="V540" s="315"/>
    </row>
    <row r="541" spans="1:22">
      <c r="A541" s="310"/>
      <c r="B541" s="311"/>
      <c r="C541" s="312"/>
      <c r="D541" s="313"/>
      <c r="E541" s="313"/>
      <c r="F541" s="313"/>
      <c r="G541" s="313"/>
      <c r="H541" s="313"/>
      <c r="I541" s="313"/>
      <c r="J541" s="314"/>
      <c r="K541" s="314"/>
      <c r="L541" s="313"/>
      <c r="M541" s="313"/>
      <c r="N541" s="313"/>
      <c r="O541" s="314"/>
      <c r="P541" s="314"/>
      <c r="Q541" s="313"/>
      <c r="R541" s="314"/>
      <c r="S541" s="314"/>
      <c r="T541" s="314"/>
      <c r="U541" s="314"/>
      <c r="V541" s="315"/>
    </row>
    <row r="542" spans="1:22">
      <c r="A542" s="310"/>
      <c r="B542" s="316"/>
      <c r="C542" s="317"/>
      <c r="D542" s="318"/>
      <c r="E542" s="318"/>
      <c r="F542" s="318"/>
      <c r="G542" s="318"/>
      <c r="H542" s="318"/>
      <c r="I542" s="318"/>
      <c r="J542" s="320"/>
      <c r="K542" s="320"/>
      <c r="L542" s="318"/>
      <c r="M542" s="318"/>
      <c r="N542" s="318"/>
      <c r="O542" s="320"/>
      <c r="P542" s="320"/>
      <c r="Q542" s="318"/>
      <c r="R542" s="320"/>
      <c r="S542" s="320"/>
      <c r="T542" s="320"/>
      <c r="U542" s="320"/>
      <c r="V542" s="315"/>
    </row>
    <row r="543" spans="1:22">
      <c r="A543" s="310"/>
      <c r="B543" s="55"/>
      <c r="C543" s="307"/>
      <c r="D543" s="308"/>
      <c r="E543" s="308"/>
      <c r="F543" s="308"/>
      <c r="G543" s="308"/>
      <c r="H543" s="308"/>
      <c r="I543" s="308"/>
      <c r="J543" s="309"/>
      <c r="K543" s="309"/>
      <c r="L543" s="308"/>
      <c r="M543" s="308"/>
      <c r="N543" s="308"/>
      <c r="O543" s="309"/>
      <c r="P543" s="309"/>
      <c r="Q543" s="308"/>
      <c r="R543" s="309"/>
      <c r="S543" s="309"/>
      <c r="T543" s="309"/>
      <c r="U543" s="309"/>
      <c r="V543" s="315"/>
    </row>
    <row r="544" spans="1:22">
      <c r="A544" s="310"/>
      <c r="B544" s="311"/>
      <c r="C544" s="312"/>
      <c r="D544" s="313"/>
      <c r="E544" s="313"/>
      <c r="F544" s="313"/>
      <c r="G544" s="313"/>
      <c r="H544" s="313"/>
      <c r="I544" s="313"/>
      <c r="J544" s="314"/>
      <c r="K544" s="314"/>
      <c r="L544" s="313"/>
      <c r="M544" s="313"/>
      <c r="N544" s="313"/>
      <c r="O544" s="314"/>
      <c r="P544" s="314"/>
      <c r="Q544" s="313"/>
      <c r="R544" s="314"/>
      <c r="S544" s="314"/>
      <c r="T544" s="314"/>
      <c r="U544" s="314"/>
      <c r="V544" s="315"/>
    </row>
    <row r="545" spans="1:22" ht="15" thickBot="1">
      <c r="A545" s="326"/>
      <c r="B545" s="327"/>
      <c r="C545" s="328"/>
      <c r="D545" s="329"/>
      <c r="E545" s="329"/>
      <c r="F545" s="329"/>
      <c r="G545" s="329"/>
      <c r="H545" s="329"/>
      <c r="I545" s="329"/>
      <c r="J545" s="330"/>
      <c r="K545" s="330"/>
      <c r="L545" s="329"/>
      <c r="M545" s="329"/>
      <c r="N545" s="329"/>
      <c r="O545" s="330"/>
      <c r="P545" s="330"/>
      <c r="Q545" s="329"/>
      <c r="R545" s="330"/>
      <c r="S545" s="330"/>
      <c r="T545" s="330"/>
      <c r="U545" s="330"/>
      <c r="V545" s="315"/>
    </row>
    <row r="546" spans="1:22">
      <c r="A546" s="306"/>
      <c r="B546" s="55"/>
      <c r="C546" s="307"/>
      <c r="D546" s="308"/>
      <c r="E546" s="308"/>
      <c r="F546" s="308"/>
      <c r="G546" s="308"/>
      <c r="H546" s="308"/>
      <c r="I546" s="308"/>
      <c r="J546" s="309"/>
      <c r="K546" s="309"/>
      <c r="L546" s="308"/>
      <c r="M546" s="308"/>
      <c r="N546" s="308"/>
      <c r="O546" s="309"/>
      <c r="P546" s="309"/>
      <c r="Q546" s="308"/>
      <c r="R546" s="309"/>
      <c r="S546" s="309"/>
      <c r="T546" s="309"/>
      <c r="U546" s="309"/>
      <c r="V546" s="315"/>
    </row>
    <row r="547" spans="1:22">
      <c r="A547" s="310"/>
      <c r="B547" s="311"/>
      <c r="C547" s="312"/>
      <c r="D547" s="313"/>
      <c r="E547" s="313"/>
      <c r="F547" s="313"/>
      <c r="G547" s="313"/>
      <c r="H547" s="313"/>
      <c r="I547" s="313"/>
      <c r="J547" s="314"/>
      <c r="K547" s="314"/>
      <c r="L547" s="313"/>
      <c r="M547" s="313"/>
      <c r="N547" s="313"/>
      <c r="O547" s="314"/>
      <c r="P547" s="314"/>
      <c r="Q547" s="313"/>
      <c r="R547" s="314"/>
      <c r="S547" s="314"/>
      <c r="T547" s="314"/>
      <c r="U547" s="314"/>
      <c r="V547" s="315"/>
    </row>
    <row r="548" spans="1:22">
      <c r="A548" s="310"/>
      <c r="B548" s="316"/>
      <c r="C548" s="317"/>
      <c r="D548" s="318"/>
      <c r="E548" s="318"/>
      <c r="F548" s="318"/>
      <c r="G548" s="318"/>
      <c r="H548" s="318"/>
      <c r="I548" s="318"/>
      <c r="J548" s="320"/>
      <c r="K548" s="320"/>
      <c r="L548" s="318"/>
      <c r="M548" s="318"/>
      <c r="N548" s="318"/>
      <c r="O548" s="320"/>
      <c r="P548" s="320"/>
      <c r="Q548" s="318"/>
      <c r="R548" s="320"/>
      <c r="S548" s="320"/>
      <c r="T548" s="320"/>
      <c r="U548" s="320"/>
      <c r="V548" s="315"/>
    </row>
    <row r="549" spans="1:22">
      <c r="A549" s="310"/>
      <c r="B549" s="55"/>
      <c r="C549" s="307"/>
      <c r="D549" s="308"/>
      <c r="E549" s="308"/>
      <c r="F549" s="308"/>
      <c r="G549" s="308"/>
      <c r="H549" s="308"/>
      <c r="I549" s="308"/>
      <c r="J549" s="309"/>
      <c r="K549" s="309"/>
      <c r="L549" s="308"/>
      <c r="M549" s="308"/>
      <c r="N549" s="308"/>
      <c r="O549" s="309"/>
      <c r="P549" s="309"/>
      <c r="Q549" s="308"/>
      <c r="R549" s="309"/>
      <c r="S549" s="309"/>
      <c r="T549" s="309"/>
      <c r="U549" s="309"/>
      <c r="V549" s="315"/>
    </row>
    <row r="550" spans="1:22">
      <c r="A550" s="310"/>
      <c r="B550" s="311"/>
      <c r="C550" s="312"/>
      <c r="D550" s="313"/>
      <c r="E550" s="313"/>
      <c r="F550" s="313"/>
      <c r="G550" s="313"/>
      <c r="H550" s="313"/>
      <c r="I550" s="313"/>
      <c r="J550" s="314"/>
      <c r="K550" s="314"/>
      <c r="L550" s="313"/>
      <c r="M550" s="313"/>
      <c r="N550" s="313"/>
      <c r="O550" s="314"/>
      <c r="P550" s="314"/>
      <c r="Q550" s="313"/>
      <c r="R550" s="314"/>
      <c r="S550" s="314"/>
      <c r="T550" s="314"/>
      <c r="U550" s="314"/>
      <c r="V550" s="315"/>
    </row>
    <row r="551" spans="1:22">
      <c r="A551" s="310"/>
      <c r="B551" s="316"/>
      <c r="C551" s="317"/>
      <c r="D551" s="318"/>
      <c r="E551" s="318"/>
      <c r="F551" s="318"/>
      <c r="G551" s="318"/>
      <c r="H551" s="318"/>
      <c r="I551" s="318"/>
      <c r="J551" s="320"/>
      <c r="K551" s="320"/>
      <c r="L551" s="318"/>
      <c r="M551" s="318"/>
      <c r="N551" s="318"/>
      <c r="O551" s="320"/>
      <c r="P551" s="320"/>
      <c r="Q551" s="318"/>
      <c r="R551" s="320"/>
      <c r="S551" s="320"/>
      <c r="T551" s="320"/>
      <c r="U551" s="320"/>
      <c r="V551" s="315"/>
    </row>
    <row r="552" spans="1:22">
      <c r="A552" s="310"/>
      <c r="B552" s="55"/>
      <c r="C552" s="307"/>
      <c r="D552" s="308"/>
      <c r="E552" s="308"/>
      <c r="F552" s="308"/>
      <c r="G552" s="308"/>
      <c r="H552" s="308"/>
      <c r="I552" s="308"/>
      <c r="J552" s="309"/>
      <c r="K552" s="309"/>
      <c r="L552" s="308"/>
      <c r="M552" s="308"/>
      <c r="N552" s="308"/>
      <c r="O552" s="309"/>
      <c r="P552" s="309"/>
      <c r="Q552" s="308"/>
      <c r="R552" s="309"/>
      <c r="S552" s="309"/>
      <c r="T552" s="309"/>
      <c r="U552" s="309"/>
      <c r="V552" s="315"/>
    </row>
    <row r="553" spans="1:22">
      <c r="A553" s="310"/>
      <c r="B553" s="311"/>
      <c r="C553" s="312"/>
      <c r="D553" s="313"/>
      <c r="E553" s="313"/>
      <c r="F553" s="313"/>
      <c r="G553" s="313"/>
      <c r="H553" s="313"/>
      <c r="I553" s="313"/>
      <c r="J553" s="314"/>
      <c r="K553" s="314"/>
      <c r="L553" s="313"/>
      <c r="M553" s="313"/>
      <c r="N553" s="313"/>
      <c r="O553" s="314"/>
      <c r="P553" s="314"/>
      <c r="Q553" s="313"/>
      <c r="R553" s="314"/>
      <c r="S553" s="314"/>
      <c r="T553" s="314"/>
      <c r="U553" s="314"/>
      <c r="V553" s="315"/>
    </row>
    <row r="554" spans="1:22">
      <c r="A554" s="310"/>
      <c r="B554" s="316"/>
      <c r="C554" s="317"/>
      <c r="D554" s="318"/>
      <c r="E554" s="318"/>
      <c r="F554" s="318"/>
      <c r="G554" s="318"/>
      <c r="H554" s="318"/>
      <c r="I554" s="318"/>
      <c r="J554" s="320"/>
      <c r="K554" s="320"/>
      <c r="L554" s="318"/>
      <c r="M554" s="318"/>
      <c r="N554" s="318"/>
      <c r="O554" s="320"/>
      <c r="P554" s="320"/>
      <c r="Q554" s="318"/>
      <c r="R554" s="320"/>
      <c r="S554" s="320"/>
      <c r="T554" s="320"/>
      <c r="U554" s="320"/>
      <c r="V554" s="315"/>
    </row>
    <row r="555" spans="1:22">
      <c r="A555" s="310"/>
      <c r="B555" s="55"/>
      <c r="C555" s="307"/>
      <c r="D555" s="308"/>
      <c r="E555" s="308"/>
      <c r="F555" s="308"/>
      <c r="G555" s="308"/>
      <c r="H555" s="308"/>
      <c r="I555" s="308"/>
      <c r="J555" s="309"/>
      <c r="K555" s="309"/>
      <c r="L555" s="308"/>
      <c r="M555" s="308"/>
      <c r="N555" s="308"/>
      <c r="O555" s="309"/>
      <c r="P555" s="309"/>
      <c r="Q555" s="308"/>
      <c r="R555" s="309"/>
      <c r="S555" s="309"/>
      <c r="T555" s="309"/>
      <c r="U555" s="309"/>
      <c r="V555" s="315"/>
    </row>
    <row r="556" spans="1:22">
      <c r="A556" s="310"/>
      <c r="B556" s="311"/>
      <c r="C556" s="312"/>
      <c r="D556" s="313"/>
      <c r="E556" s="313"/>
      <c r="F556" s="313"/>
      <c r="G556" s="313"/>
      <c r="H556" s="313"/>
      <c r="I556" s="313"/>
      <c r="J556" s="314"/>
      <c r="K556" s="314"/>
      <c r="L556" s="313"/>
      <c r="M556" s="313"/>
      <c r="N556" s="313"/>
      <c r="O556" s="314"/>
      <c r="P556" s="314"/>
      <c r="Q556" s="313"/>
      <c r="R556" s="314"/>
      <c r="S556" s="314"/>
      <c r="T556" s="314"/>
      <c r="U556" s="314"/>
      <c r="V556" s="315"/>
    </row>
    <row r="557" spans="1:22">
      <c r="A557" s="310"/>
      <c r="B557" s="316"/>
      <c r="C557" s="317"/>
      <c r="D557" s="318"/>
      <c r="E557" s="318"/>
      <c r="F557" s="318"/>
      <c r="G557" s="318"/>
      <c r="H557" s="318"/>
      <c r="I557" s="318"/>
      <c r="J557" s="320"/>
      <c r="K557" s="320"/>
      <c r="L557" s="318"/>
      <c r="M557" s="318"/>
      <c r="N557" s="318"/>
      <c r="O557" s="320"/>
      <c r="P557" s="320"/>
      <c r="Q557" s="318"/>
      <c r="R557" s="320"/>
      <c r="S557" s="320"/>
      <c r="T557" s="320"/>
      <c r="U557" s="320"/>
      <c r="V557" s="315"/>
    </row>
    <row r="558" spans="1:22">
      <c r="A558" s="310"/>
      <c r="B558" s="55"/>
      <c r="C558" s="307"/>
      <c r="D558" s="308"/>
      <c r="E558" s="308"/>
      <c r="F558" s="308"/>
      <c r="G558" s="308"/>
      <c r="H558" s="308"/>
      <c r="I558" s="308"/>
      <c r="J558" s="309"/>
      <c r="K558" s="309"/>
      <c r="L558" s="308"/>
      <c r="M558" s="308"/>
      <c r="N558" s="308"/>
      <c r="O558" s="309"/>
      <c r="P558" s="309"/>
      <c r="Q558" s="308"/>
      <c r="R558" s="309"/>
      <c r="S558" s="309"/>
      <c r="T558" s="309"/>
      <c r="U558" s="309"/>
      <c r="V558" s="315"/>
    </row>
    <row r="559" spans="1:22">
      <c r="A559" s="310"/>
      <c r="B559" s="311"/>
      <c r="C559" s="312"/>
      <c r="D559" s="313"/>
      <c r="E559" s="313"/>
      <c r="F559" s="313"/>
      <c r="G559" s="313"/>
      <c r="H559" s="313"/>
      <c r="I559" s="313"/>
      <c r="J559" s="314"/>
      <c r="K559" s="314"/>
      <c r="L559" s="313"/>
      <c r="M559" s="313"/>
      <c r="N559" s="313"/>
      <c r="O559" s="314"/>
      <c r="P559" s="314"/>
      <c r="Q559" s="313"/>
      <c r="R559" s="314"/>
      <c r="S559" s="314"/>
      <c r="T559" s="314"/>
      <c r="U559" s="314"/>
      <c r="V559" s="315"/>
    </row>
    <row r="560" spans="1:22">
      <c r="A560" s="310"/>
      <c r="B560" s="316"/>
      <c r="C560" s="317"/>
      <c r="D560" s="318"/>
      <c r="E560" s="318"/>
      <c r="F560" s="318"/>
      <c r="G560" s="318"/>
      <c r="H560" s="318"/>
      <c r="I560" s="318"/>
      <c r="J560" s="320"/>
      <c r="K560" s="320"/>
      <c r="L560" s="318"/>
      <c r="M560" s="318"/>
      <c r="N560" s="318"/>
      <c r="O560" s="320"/>
      <c r="P560" s="320"/>
      <c r="Q560" s="318"/>
      <c r="R560" s="320"/>
      <c r="S560" s="320"/>
      <c r="T560" s="320"/>
      <c r="U560" s="320"/>
      <c r="V560" s="315"/>
    </row>
    <row r="561" spans="1:22">
      <c r="A561" s="310"/>
      <c r="B561" s="55"/>
      <c r="C561" s="307"/>
      <c r="D561" s="308"/>
      <c r="E561" s="308"/>
      <c r="F561" s="308"/>
      <c r="G561" s="308"/>
      <c r="H561" s="308"/>
      <c r="I561" s="308"/>
      <c r="J561" s="309"/>
      <c r="K561" s="309"/>
      <c r="L561" s="308"/>
      <c r="M561" s="308"/>
      <c r="N561" s="308"/>
      <c r="O561" s="309"/>
      <c r="P561" s="309"/>
      <c r="Q561" s="308"/>
      <c r="R561" s="309"/>
      <c r="S561" s="309"/>
      <c r="T561" s="309"/>
      <c r="U561" s="309"/>
      <c r="V561" s="315"/>
    </row>
    <row r="562" spans="1:22">
      <c r="A562" s="310"/>
      <c r="B562" s="311"/>
      <c r="C562" s="312"/>
      <c r="D562" s="313"/>
      <c r="E562" s="313"/>
      <c r="F562" s="313"/>
      <c r="G562" s="313"/>
      <c r="H562" s="313"/>
      <c r="I562" s="313"/>
      <c r="J562" s="314"/>
      <c r="K562" s="314"/>
      <c r="L562" s="313"/>
      <c r="M562" s="313"/>
      <c r="N562" s="313"/>
      <c r="O562" s="314"/>
      <c r="P562" s="314"/>
      <c r="Q562" s="313"/>
      <c r="R562" s="314"/>
      <c r="S562" s="314"/>
      <c r="T562" s="314"/>
      <c r="U562" s="314"/>
      <c r="V562" s="315"/>
    </row>
    <row r="563" spans="1:22" ht="15" thickBot="1">
      <c r="A563" s="310"/>
      <c r="B563" s="322"/>
      <c r="C563" s="323"/>
      <c r="D563" s="324"/>
      <c r="E563" s="324"/>
      <c r="F563" s="324"/>
      <c r="G563" s="324"/>
      <c r="H563" s="324"/>
      <c r="I563" s="324"/>
      <c r="J563" s="325"/>
      <c r="K563" s="325"/>
      <c r="L563" s="324"/>
      <c r="M563" s="324"/>
      <c r="N563" s="324"/>
      <c r="O563" s="325"/>
      <c r="P563" s="325"/>
      <c r="Q563" s="324"/>
      <c r="R563" s="325"/>
      <c r="S563" s="325"/>
      <c r="T563" s="325"/>
      <c r="U563" s="325"/>
      <c r="V563" s="315"/>
    </row>
    <row r="564" spans="1:22" ht="15" thickTop="1">
      <c r="A564" s="310"/>
      <c r="B564" s="311"/>
      <c r="C564" s="312"/>
      <c r="D564" s="313"/>
      <c r="E564" s="313"/>
      <c r="F564" s="313"/>
      <c r="G564" s="313"/>
      <c r="H564" s="313"/>
      <c r="I564" s="313"/>
      <c r="J564" s="314"/>
      <c r="K564" s="314"/>
      <c r="L564" s="313"/>
      <c r="M564" s="313"/>
      <c r="N564" s="313"/>
      <c r="O564" s="314"/>
      <c r="P564" s="314"/>
      <c r="Q564" s="313"/>
      <c r="R564" s="314"/>
      <c r="S564" s="314"/>
      <c r="T564" s="314"/>
      <c r="U564" s="314"/>
      <c r="V564" s="315"/>
    </row>
    <row r="565" spans="1:22">
      <c r="A565" s="310"/>
      <c r="B565" s="311"/>
      <c r="C565" s="312"/>
      <c r="D565" s="313"/>
      <c r="E565" s="313"/>
      <c r="F565" s="313"/>
      <c r="G565" s="313"/>
      <c r="H565" s="313"/>
      <c r="I565" s="313"/>
      <c r="J565" s="314"/>
      <c r="K565" s="314"/>
      <c r="L565" s="313"/>
      <c r="M565" s="313"/>
      <c r="N565" s="313"/>
      <c r="O565" s="314"/>
      <c r="P565" s="314"/>
      <c r="Q565" s="313"/>
      <c r="R565" s="314"/>
      <c r="S565" s="314"/>
      <c r="T565" s="314"/>
      <c r="U565" s="314"/>
      <c r="V565" s="315"/>
    </row>
    <row r="566" spans="1:22">
      <c r="A566" s="310"/>
      <c r="B566" s="316"/>
      <c r="C566" s="317"/>
      <c r="D566" s="318"/>
      <c r="E566" s="318"/>
      <c r="F566" s="318"/>
      <c r="G566" s="318"/>
      <c r="H566" s="318"/>
      <c r="I566" s="318"/>
      <c r="J566" s="320"/>
      <c r="K566" s="320"/>
      <c r="L566" s="318"/>
      <c r="M566" s="318"/>
      <c r="N566" s="318"/>
      <c r="O566" s="320"/>
      <c r="P566" s="320"/>
      <c r="Q566" s="318"/>
      <c r="R566" s="320"/>
      <c r="S566" s="320"/>
      <c r="T566" s="320"/>
      <c r="U566" s="320"/>
      <c r="V566" s="315"/>
    </row>
    <row r="567" spans="1:22">
      <c r="A567" s="310"/>
      <c r="B567" s="55"/>
      <c r="C567" s="307"/>
      <c r="D567" s="308"/>
      <c r="E567" s="308"/>
      <c r="F567" s="308"/>
      <c r="G567" s="308"/>
      <c r="H567" s="308"/>
      <c r="I567" s="308"/>
      <c r="J567" s="309"/>
      <c r="K567" s="309"/>
      <c r="L567" s="308"/>
      <c r="M567" s="308"/>
      <c r="N567" s="308"/>
      <c r="O567" s="309"/>
      <c r="P567" s="309"/>
      <c r="Q567" s="308"/>
      <c r="R567" s="309"/>
      <c r="S567" s="309"/>
      <c r="T567" s="309"/>
      <c r="U567" s="309"/>
      <c r="V567" s="315"/>
    </row>
    <row r="568" spans="1:22">
      <c r="A568" s="310"/>
      <c r="B568" s="311"/>
      <c r="C568" s="312"/>
      <c r="D568" s="313"/>
      <c r="E568" s="313"/>
      <c r="F568" s="313"/>
      <c r="G568" s="313"/>
      <c r="H568" s="313"/>
      <c r="I568" s="313"/>
      <c r="J568" s="314"/>
      <c r="K568" s="314"/>
      <c r="L568" s="313"/>
      <c r="M568" s="313"/>
      <c r="N568" s="313"/>
      <c r="O568" s="314"/>
      <c r="P568" s="314"/>
      <c r="Q568" s="313"/>
      <c r="R568" s="314"/>
      <c r="S568" s="314"/>
      <c r="T568" s="314"/>
      <c r="U568" s="314"/>
      <c r="V568" s="315"/>
    </row>
    <row r="569" spans="1:22">
      <c r="A569" s="310"/>
      <c r="B569" s="316"/>
      <c r="C569" s="317"/>
      <c r="D569" s="318"/>
      <c r="E569" s="318"/>
      <c r="F569" s="318"/>
      <c r="G569" s="318"/>
      <c r="H569" s="318"/>
      <c r="I569" s="318"/>
      <c r="J569" s="320"/>
      <c r="K569" s="320"/>
      <c r="L569" s="318"/>
      <c r="M569" s="318"/>
      <c r="N569" s="318"/>
      <c r="O569" s="320"/>
      <c r="P569" s="320"/>
      <c r="Q569" s="318"/>
      <c r="R569" s="320"/>
      <c r="S569" s="320"/>
      <c r="T569" s="320"/>
      <c r="U569" s="320"/>
      <c r="V569" s="315"/>
    </row>
    <row r="570" spans="1:22">
      <c r="A570" s="310"/>
      <c r="B570" s="55"/>
      <c r="C570" s="307"/>
      <c r="D570" s="308"/>
      <c r="E570" s="308"/>
      <c r="F570" s="308"/>
      <c r="G570" s="308"/>
      <c r="H570" s="308"/>
      <c r="I570" s="308"/>
      <c r="J570" s="309"/>
      <c r="K570" s="309"/>
      <c r="L570" s="308"/>
      <c r="M570" s="308"/>
      <c r="N570" s="308"/>
      <c r="O570" s="309"/>
      <c r="P570" s="309"/>
      <c r="Q570" s="308"/>
      <c r="R570" s="309"/>
      <c r="S570" s="309"/>
      <c r="T570" s="309"/>
      <c r="U570" s="309"/>
      <c r="V570" s="315"/>
    </row>
    <row r="571" spans="1:22">
      <c r="A571" s="310"/>
      <c r="B571" s="311"/>
      <c r="C571" s="312"/>
      <c r="D571" s="313"/>
      <c r="E571" s="313"/>
      <c r="F571" s="313"/>
      <c r="G571" s="313"/>
      <c r="H571" s="313"/>
      <c r="I571" s="313"/>
      <c r="J571" s="314"/>
      <c r="K571" s="314"/>
      <c r="L571" s="313"/>
      <c r="M571" s="313"/>
      <c r="N571" s="313"/>
      <c r="O571" s="314"/>
      <c r="P571" s="314"/>
      <c r="Q571" s="313"/>
      <c r="R571" s="314"/>
      <c r="S571" s="314"/>
      <c r="T571" s="314"/>
      <c r="U571" s="314"/>
      <c r="V571" s="315"/>
    </row>
    <row r="572" spans="1:22">
      <c r="A572" s="310"/>
      <c r="B572" s="316"/>
      <c r="C572" s="317"/>
      <c r="D572" s="318"/>
      <c r="E572" s="318"/>
      <c r="F572" s="318"/>
      <c r="G572" s="318"/>
      <c r="H572" s="318"/>
      <c r="I572" s="318"/>
      <c r="J572" s="320"/>
      <c r="K572" s="320"/>
      <c r="L572" s="318"/>
      <c r="M572" s="318"/>
      <c r="N572" s="318"/>
      <c r="O572" s="320"/>
      <c r="P572" s="320"/>
      <c r="Q572" s="318"/>
      <c r="R572" s="320"/>
      <c r="S572" s="320"/>
      <c r="T572" s="320"/>
      <c r="U572" s="320"/>
      <c r="V572" s="315"/>
    </row>
    <row r="573" spans="1:22">
      <c r="A573" s="310"/>
      <c r="B573" s="55"/>
      <c r="C573" s="307"/>
      <c r="D573" s="308"/>
      <c r="E573" s="308"/>
      <c r="F573" s="308"/>
      <c r="G573" s="308"/>
      <c r="H573" s="308"/>
      <c r="I573" s="308"/>
      <c r="J573" s="309"/>
      <c r="K573" s="309"/>
      <c r="L573" s="308"/>
      <c r="M573" s="308"/>
      <c r="N573" s="308"/>
      <c r="O573" s="309"/>
      <c r="P573" s="309"/>
      <c r="Q573" s="308"/>
      <c r="R573" s="309"/>
      <c r="S573" s="309"/>
      <c r="T573" s="309"/>
      <c r="U573" s="309"/>
      <c r="V573" s="315"/>
    </row>
    <row r="574" spans="1:22">
      <c r="A574" s="310"/>
      <c r="B574" s="311"/>
      <c r="C574" s="312"/>
      <c r="D574" s="313"/>
      <c r="E574" s="313"/>
      <c r="F574" s="313"/>
      <c r="G574" s="313"/>
      <c r="H574" s="313"/>
      <c r="I574" s="313"/>
      <c r="J574" s="314"/>
      <c r="K574" s="314"/>
      <c r="L574" s="313"/>
      <c r="M574" s="313"/>
      <c r="N574" s="313"/>
      <c r="O574" s="314"/>
      <c r="P574" s="314"/>
      <c r="Q574" s="313"/>
      <c r="R574" s="314"/>
      <c r="S574" s="314"/>
      <c r="T574" s="314"/>
      <c r="U574" s="314"/>
      <c r="V574" s="315"/>
    </row>
    <row r="575" spans="1:22">
      <c r="A575" s="310"/>
      <c r="B575" s="316"/>
      <c r="C575" s="317"/>
      <c r="D575" s="318"/>
      <c r="E575" s="318"/>
      <c r="F575" s="318"/>
      <c r="G575" s="318"/>
      <c r="H575" s="318"/>
      <c r="I575" s="318"/>
      <c r="J575" s="320"/>
      <c r="K575" s="320"/>
      <c r="L575" s="318"/>
      <c r="M575" s="318"/>
      <c r="N575" s="318"/>
      <c r="O575" s="320"/>
      <c r="P575" s="320"/>
      <c r="Q575" s="318"/>
      <c r="R575" s="320"/>
      <c r="S575" s="320"/>
      <c r="T575" s="320"/>
      <c r="U575" s="320"/>
      <c r="V575" s="315"/>
    </row>
    <row r="576" spans="1:22">
      <c r="A576" s="310"/>
      <c r="B576" s="55"/>
      <c r="C576" s="307"/>
      <c r="D576" s="308"/>
      <c r="E576" s="308"/>
      <c r="F576" s="308"/>
      <c r="G576" s="308"/>
      <c r="H576" s="308"/>
      <c r="I576" s="308"/>
      <c r="J576" s="309"/>
      <c r="K576" s="309"/>
      <c r="L576" s="308"/>
      <c r="M576" s="308"/>
      <c r="N576" s="308"/>
      <c r="O576" s="309"/>
      <c r="P576" s="309"/>
      <c r="Q576" s="308"/>
      <c r="R576" s="309"/>
      <c r="S576" s="309"/>
      <c r="T576" s="309"/>
      <c r="U576" s="309"/>
      <c r="V576" s="315"/>
    </row>
    <row r="577" spans="1:22">
      <c r="A577" s="310"/>
      <c r="B577" s="311"/>
      <c r="C577" s="312"/>
      <c r="D577" s="313"/>
      <c r="E577" s="313"/>
      <c r="F577" s="313"/>
      <c r="G577" s="313"/>
      <c r="H577" s="313"/>
      <c r="I577" s="313"/>
      <c r="J577" s="314"/>
      <c r="K577" s="314"/>
      <c r="L577" s="313"/>
      <c r="M577" s="313"/>
      <c r="N577" s="313"/>
      <c r="O577" s="314"/>
      <c r="P577" s="314"/>
      <c r="Q577" s="313"/>
      <c r="R577" s="314"/>
      <c r="S577" s="314"/>
      <c r="T577" s="314"/>
      <c r="U577" s="314"/>
      <c r="V577" s="315"/>
    </row>
    <row r="578" spans="1:22">
      <c r="A578" s="310"/>
      <c r="B578" s="316"/>
      <c r="C578" s="317"/>
      <c r="D578" s="318"/>
      <c r="E578" s="318"/>
      <c r="F578" s="318"/>
      <c r="G578" s="318"/>
      <c r="H578" s="318"/>
      <c r="I578" s="318"/>
      <c r="J578" s="320"/>
      <c r="K578" s="320"/>
      <c r="L578" s="318"/>
      <c r="M578" s="318"/>
      <c r="N578" s="318"/>
      <c r="O578" s="320"/>
      <c r="P578" s="320"/>
      <c r="Q578" s="318"/>
      <c r="R578" s="320"/>
      <c r="S578" s="320"/>
      <c r="T578" s="320"/>
      <c r="U578" s="320"/>
      <c r="V578" s="315"/>
    </row>
    <row r="579" spans="1:22">
      <c r="A579" s="310"/>
      <c r="B579" s="55"/>
      <c r="C579" s="307"/>
      <c r="D579" s="308"/>
      <c r="E579" s="308"/>
      <c r="F579" s="308"/>
      <c r="G579" s="308"/>
      <c r="H579" s="308"/>
      <c r="I579" s="308"/>
      <c r="J579" s="309"/>
      <c r="K579" s="309"/>
      <c r="L579" s="308"/>
      <c r="M579" s="308"/>
      <c r="N579" s="308"/>
      <c r="O579" s="309"/>
      <c r="P579" s="309"/>
      <c r="Q579" s="308"/>
      <c r="R579" s="309"/>
      <c r="S579" s="309"/>
      <c r="T579" s="309"/>
      <c r="U579" s="309"/>
      <c r="V579" s="315"/>
    </row>
    <row r="580" spans="1:22">
      <c r="A580" s="310"/>
      <c r="B580" s="311"/>
      <c r="C580" s="312"/>
      <c r="D580" s="313"/>
      <c r="E580" s="313"/>
      <c r="F580" s="313"/>
      <c r="G580" s="313"/>
      <c r="H580" s="313"/>
      <c r="I580" s="313"/>
      <c r="J580" s="314"/>
      <c r="K580" s="314"/>
      <c r="L580" s="313"/>
      <c r="M580" s="313"/>
      <c r="N580" s="313"/>
      <c r="O580" s="314"/>
      <c r="P580" s="314"/>
      <c r="Q580" s="313"/>
      <c r="R580" s="314"/>
      <c r="S580" s="314"/>
      <c r="T580" s="314"/>
      <c r="U580" s="314"/>
      <c r="V580" s="315"/>
    </row>
    <row r="581" spans="1:22" ht="15" thickBot="1">
      <c r="A581" s="326"/>
      <c r="B581" s="327"/>
      <c r="C581" s="328"/>
      <c r="D581" s="329"/>
      <c r="E581" s="329"/>
      <c r="F581" s="329"/>
      <c r="G581" s="329"/>
      <c r="H581" s="329"/>
      <c r="I581" s="329"/>
      <c r="J581" s="330"/>
      <c r="K581" s="330"/>
      <c r="L581" s="329"/>
      <c r="M581" s="329"/>
      <c r="N581" s="329"/>
      <c r="O581" s="330"/>
      <c r="P581" s="330"/>
      <c r="Q581" s="329"/>
      <c r="R581" s="330"/>
      <c r="S581" s="330"/>
      <c r="T581" s="330"/>
      <c r="U581" s="330"/>
      <c r="V581" s="315"/>
    </row>
    <row r="582" spans="1:22">
      <c r="A582" s="306"/>
      <c r="B582" s="55"/>
      <c r="C582" s="307"/>
      <c r="D582" s="308"/>
      <c r="E582" s="308"/>
      <c r="F582" s="308"/>
      <c r="G582" s="308"/>
      <c r="H582" s="308"/>
      <c r="I582" s="308"/>
      <c r="J582" s="309"/>
      <c r="K582" s="309"/>
      <c r="L582" s="308"/>
      <c r="M582" s="308"/>
      <c r="N582" s="308"/>
      <c r="O582" s="309"/>
      <c r="P582" s="309"/>
      <c r="Q582" s="308"/>
      <c r="R582" s="309"/>
      <c r="S582" s="309"/>
      <c r="T582" s="309"/>
      <c r="U582" s="309"/>
      <c r="V582" s="315"/>
    </row>
    <row r="583" spans="1:22">
      <c r="A583" s="310"/>
      <c r="B583" s="311"/>
      <c r="C583" s="312"/>
      <c r="D583" s="313"/>
      <c r="E583" s="313"/>
      <c r="F583" s="313"/>
      <c r="G583" s="313"/>
      <c r="H583" s="313"/>
      <c r="I583" s="313"/>
      <c r="J583" s="314"/>
      <c r="K583" s="314"/>
      <c r="L583" s="313"/>
      <c r="M583" s="313"/>
      <c r="N583" s="313"/>
      <c r="O583" s="314"/>
      <c r="P583" s="314"/>
      <c r="Q583" s="313"/>
      <c r="R583" s="314"/>
      <c r="S583" s="314"/>
      <c r="T583" s="314"/>
      <c r="U583" s="314"/>
      <c r="V583" s="315"/>
    </row>
    <row r="584" spans="1:22">
      <c r="A584" s="310"/>
      <c r="B584" s="316"/>
      <c r="C584" s="317"/>
      <c r="D584" s="318"/>
      <c r="E584" s="318"/>
      <c r="F584" s="318"/>
      <c r="G584" s="318"/>
      <c r="H584" s="318"/>
      <c r="I584" s="318"/>
      <c r="J584" s="320"/>
      <c r="K584" s="320"/>
      <c r="L584" s="318"/>
      <c r="M584" s="318"/>
      <c r="N584" s="318"/>
      <c r="O584" s="320"/>
      <c r="P584" s="320"/>
      <c r="Q584" s="318"/>
      <c r="R584" s="320"/>
      <c r="S584" s="320"/>
      <c r="T584" s="320"/>
      <c r="U584" s="320"/>
      <c r="V584" s="315"/>
    </row>
    <row r="585" spans="1:22">
      <c r="A585" s="310"/>
      <c r="B585" s="55"/>
      <c r="C585" s="307"/>
      <c r="D585" s="308"/>
      <c r="E585" s="308"/>
      <c r="F585" s="308"/>
      <c r="G585" s="308"/>
      <c r="H585" s="308"/>
      <c r="I585" s="308"/>
      <c r="J585" s="309"/>
      <c r="K585" s="309"/>
      <c r="L585" s="308"/>
      <c r="M585" s="308"/>
      <c r="N585" s="308"/>
      <c r="O585" s="309"/>
      <c r="P585" s="309"/>
      <c r="Q585" s="308"/>
      <c r="R585" s="309"/>
      <c r="S585" s="309"/>
      <c r="T585" s="309"/>
      <c r="U585" s="309"/>
      <c r="V585" s="315"/>
    </row>
    <row r="586" spans="1:22">
      <c r="A586" s="310"/>
      <c r="B586" s="311"/>
      <c r="C586" s="312"/>
      <c r="D586" s="313"/>
      <c r="E586" s="313"/>
      <c r="F586" s="313"/>
      <c r="G586" s="313"/>
      <c r="H586" s="313"/>
      <c r="I586" s="313"/>
      <c r="J586" s="314"/>
      <c r="K586" s="314"/>
      <c r="L586" s="313"/>
      <c r="M586" s="313"/>
      <c r="N586" s="313"/>
      <c r="O586" s="314"/>
      <c r="P586" s="314"/>
      <c r="Q586" s="313"/>
      <c r="R586" s="314"/>
      <c r="S586" s="314"/>
      <c r="T586" s="314"/>
      <c r="U586" s="314"/>
      <c r="V586" s="315"/>
    </row>
    <row r="587" spans="1:22">
      <c r="A587" s="310"/>
      <c r="B587" s="316"/>
      <c r="C587" s="317"/>
      <c r="D587" s="318"/>
      <c r="E587" s="318"/>
      <c r="F587" s="318"/>
      <c r="G587" s="318"/>
      <c r="H587" s="318"/>
      <c r="I587" s="318"/>
      <c r="J587" s="320"/>
      <c r="K587" s="320"/>
      <c r="L587" s="318"/>
      <c r="M587" s="318"/>
      <c r="N587" s="318"/>
      <c r="O587" s="320"/>
      <c r="P587" s="320"/>
      <c r="Q587" s="318"/>
      <c r="R587" s="320"/>
      <c r="S587" s="320"/>
      <c r="T587" s="320"/>
      <c r="U587" s="320"/>
      <c r="V587" s="315"/>
    </row>
    <row r="588" spans="1:22">
      <c r="A588" s="310"/>
      <c r="B588" s="55"/>
      <c r="C588" s="307"/>
      <c r="D588" s="308"/>
      <c r="E588" s="308"/>
      <c r="F588" s="308"/>
      <c r="G588" s="308"/>
      <c r="H588" s="308"/>
      <c r="I588" s="308"/>
      <c r="J588" s="309"/>
      <c r="K588" s="309"/>
      <c r="L588" s="308"/>
      <c r="M588" s="308"/>
      <c r="N588" s="308"/>
      <c r="O588" s="309"/>
      <c r="P588" s="309"/>
      <c r="Q588" s="308"/>
      <c r="R588" s="309"/>
      <c r="S588" s="309"/>
      <c r="T588" s="309"/>
      <c r="U588" s="309"/>
      <c r="V588" s="315"/>
    </row>
    <row r="589" spans="1:22">
      <c r="A589" s="310"/>
      <c r="B589" s="311"/>
      <c r="C589" s="312"/>
      <c r="D589" s="313"/>
      <c r="E589" s="313"/>
      <c r="F589" s="313"/>
      <c r="G589" s="313"/>
      <c r="H589" s="313"/>
      <c r="I589" s="313"/>
      <c r="J589" s="314"/>
      <c r="K589" s="314"/>
      <c r="L589" s="313"/>
      <c r="M589" s="313"/>
      <c r="N589" s="313"/>
      <c r="O589" s="314"/>
      <c r="P589" s="314"/>
      <c r="Q589" s="313"/>
      <c r="R589" s="314"/>
      <c r="S589" s="314"/>
      <c r="T589" s="314"/>
      <c r="U589" s="314"/>
      <c r="V589" s="315"/>
    </row>
    <row r="590" spans="1:22">
      <c r="A590" s="310"/>
      <c r="B590" s="316"/>
      <c r="C590" s="317"/>
      <c r="D590" s="318"/>
      <c r="E590" s="318"/>
      <c r="F590" s="318"/>
      <c r="G590" s="318"/>
      <c r="H590" s="318"/>
      <c r="I590" s="318"/>
      <c r="J590" s="320"/>
      <c r="K590" s="320"/>
      <c r="L590" s="318"/>
      <c r="M590" s="318"/>
      <c r="N590" s="318"/>
      <c r="O590" s="320"/>
      <c r="P590" s="320"/>
      <c r="Q590" s="318"/>
      <c r="R590" s="320"/>
      <c r="S590" s="320"/>
      <c r="T590" s="320"/>
      <c r="U590" s="320"/>
      <c r="V590" s="315"/>
    </row>
    <row r="591" spans="1:22">
      <c r="A591" s="310"/>
      <c r="B591" s="55"/>
      <c r="C591" s="307"/>
      <c r="D591" s="308"/>
      <c r="E591" s="308"/>
      <c r="F591" s="308"/>
      <c r="G591" s="308"/>
      <c r="H591" s="308"/>
      <c r="I591" s="308"/>
      <c r="J591" s="309"/>
      <c r="K591" s="309"/>
      <c r="L591" s="308"/>
      <c r="M591" s="308"/>
      <c r="N591" s="308"/>
      <c r="O591" s="309"/>
      <c r="P591" s="309"/>
      <c r="Q591" s="308"/>
      <c r="R591" s="309"/>
      <c r="S591" s="309"/>
      <c r="T591" s="309"/>
      <c r="U591" s="309"/>
      <c r="V591" s="315"/>
    </row>
    <row r="592" spans="1:22">
      <c r="A592" s="310"/>
      <c r="B592" s="311"/>
      <c r="C592" s="312"/>
      <c r="D592" s="313"/>
      <c r="E592" s="313"/>
      <c r="F592" s="313"/>
      <c r="G592" s="313"/>
      <c r="H592" s="313"/>
      <c r="I592" s="313"/>
      <c r="J592" s="314"/>
      <c r="K592" s="314"/>
      <c r="L592" s="313"/>
      <c r="M592" s="313"/>
      <c r="N592" s="313"/>
      <c r="O592" s="314"/>
      <c r="P592" s="314"/>
      <c r="Q592" s="313"/>
      <c r="R592" s="314"/>
      <c r="S592" s="314"/>
      <c r="T592" s="314"/>
      <c r="U592" s="314"/>
      <c r="V592" s="315"/>
    </row>
    <row r="593" spans="1:22">
      <c r="A593" s="310"/>
      <c r="B593" s="316"/>
      <c r="C593" s="317"/>
      <c r="D593" s="318"/>
      <c r="E593" s="318"/>
      <c r="F593" s="318"/>
      <c r="G593" s="318"/>
      <c r="H593" s="318"/>
      <c r="I593" s="318"/>
      <c r="J593" s="320"/>
      <c r="K593" s="320"/>
      <c r="L593" s="318"/>
      <c r="M593" s="318"/>
      <c r="N593" s="318"/>
      <c r="O593" s="320"/>
      <c r="P593" s="320"/>
      <c r="Q593" s="318"/>
      <c r="R593" s="320"/>
      <c r="S593" s="320"/>
      <c r="T593" s="320"/>
      <c r="U593" s="320"/>
      <c r="V593" s="315"/>
    </row>
    <row r="594" spans="1:22">
      <c r="A594" s="310"/>
      <c r="B594" s="55"/>
      <c r="C594" s="307"/>
      <c r="D594" s="308"/>
      <c r="E594" s="308"/>
      <c r="F594" s="308"/>
      <c r="G594" s="308"/>
      <c r="H594" s="308"/>
      <c r="I594" s="308"/>
      <c r="J594" s="309"/>
      <c r="K594" s="309"/>
      <c r="L594" s="308"/>
      <c r="M594" s="308"/>
      <c r="N594" s="308"/>
      <c r="O594" s="309"/>
      <c r="P594" s="309"/>
      <c r="Q594" s="308"/>
      <c r="R594" s="309"/>
      <c r="S594" s="309"/>
      <c r="T594" s="309"/>
      <c r="U594" s="309"/>
      <c r="V594" s="315"/>
    </row>
    <row r="595" spans="1:22">
      <c r="A595" s="310"/>
      <c r="B595" s="311"/>
      <c r="C595" s="312"/>
      <c r="D595" s="313"/>
      <c r="E595" s="313"/>
      <c r="F595" s="313"/>
      <c r="G595" s="313"/>
      <c r="H595" s="313"/>
      <c r="I595" s="313"/>
      <c r="J595" s="314"/>
      <c r="K595" s="314"/>
      <c r="L595" s="313"/>
      <c r="M595" s="313"/>
      <c r="N595" s="313"/>
      <c r="O595" s="314"/>
      <c r="P595" s="314"/>
      <c r="Q595" s="313"/>
      <c r="R595" s="314"/>
      <c r="S595" s="314"/>
      <c r="T595" s="314"/>
      <c r="U595" s="314"/>
      <c r="V595" s="315"/>
    </row>
    <row r="596" spans="1:22">
      <c r="A596" s="310"/>
      <c r="B596" s="316"/>
      <c r="C596" s="317"/>
      <c r="D596" s="318"/>
      <c r="E596" s="318"/>
      <c r="F596" s="318"/>
      <c r="G596" s="318"/>
      <c r="H596" s="318"/>
      <c r="I596" s="318"/>
      <c r="J596" s="320"/>
      <c r="K596" s="320"/>
      <c r="L596" s="318"/>
      <c r="M596" s="318"/>
      <c r="N596" s="318"/>
      <c r="O596" s="320"/>
      <c r="P596" s="320"/>
      <c r="Q596" s="318"/>
      <c r="R596" s="320"/>
      <c r="S596" s="320"/>
      <c r="T596" s="320"/>
      <c r="U596" s="320"/>
      <c r="V596" s="315"/>
    </row>
    <row r="597" spans="1:22">
      <c r="A597" s="310"/>
      <c r="B597" s="55"/>
      <c r="C597" s="307"/>
      <c r="D597" s="308"/>
      <c r="E597" s="308"/>
      <c r="F597" s="308"/>
      <c r="G597" s="308"/>
      <c r="H597" s="308"/>
      <c r="I597" s="308"/>
      <c r="J597" s="309"/>
      <c r="K597" s="309"/>
      <c r="L597" s="308"/>
      <c r="M597" s="308"/>
      <c r="N597" s="308"/>
      <c r="O597" s="309"/>
      <c r="P597" s="309"/>
      <c r="Q597" s="308"/>
      <c r="R597" s="309"/>
      <c r="S597" s="309"/>
      <c r="T597" s="309"/>
      <c r="U597" s="309"/>
      <c r="V597" s="315"/>
    </row>
    <row r="598" spans="1:22">
      <c r="A598" s="310"/>
      <c r="B598" s="311"/>
      <c r="C598" s="312"/>
      <c r="D598" s="313"/>
      <c r="E598" s="313"/>
      <c r="F598" s="313"/>
      <c r="G598" s="313"/>
      <c r="H598" s="313"/>
      <c r="I598" s="313"/>
      <c r="J598" s="314"/>
      <c r="K598" s="314"/>
      <c r="L598" s="313"/>
      <c r="M598" s="313"/>
      <c r="N598" s="313"/>
      <c r="O598" s="314"/>
      <c r="P598" s="314"/>
      <c r="Q598" s="313"/>
      <c r="R598" s="314"/>
      <c r="S598" s="314"/>
      <c r="T598" s="314"/>
      <c r="U598" s="314"/>
      <c r="V598" s="315"/>
    </row>
    <row r="599" spans="1:22" ht="15" thickBot="1">
      <c r="A599" s="310"/>
      <c r="B599" s="322"/>
      <c r="C599" s="323"/>
      <c r="D599" s="324"/>
      <c r="E599" s="324"/>
      <c r="F599" s="324"/>
      <c r="G599" s="324"/>
      <c r="H599" s="324"/>
      <c r="I599" s="324"/>
      <c r="J599" s="325"/>
      <c r="K599" s="325"/>
      <c r="L599" s="324"/>
      <c r="M599" s="324"/>
      <c r="N599" s="324"/>
      <c r="O599" s="325"/>
      <c r="P599" s="325"/>
      <c r="Q599" s="324"/>
      <c r="R599" s="325"/>
      <c r="S599" s="325"/>
      <c r="T599" s="325"/>
      <c r="U599" s="325"/>
      <c r="V599" s="315"/>
    </row>
    <row r="600" spans="1:22" ht="15" thickTop="1">
      <c r="A600" s="310"/>
      <c r="B600" s="311"/>
      <c r="C600" s="312"/>
      <c r="D600" s="313"/>
      <c r="E600" s="313"/>
      <c r="F600" s="313"/>
      <c r="G600" s="313"/>
      <c r="H600" s="313"/>
      <c r="I600" s="313"/>
      <c r="J600" s="314"/>
      <c r="K600" s="314"/>
      <c r="L600" s="313"/>
      <c r="M600" s="313"/>
      <c r="N600" s="313"/>
      <c r="O600" s="314"/>
      <c r="P600" s="314"/>
      <c r="Q600" s="313"/>
      <c r="R600" s="314"/>
      <c r="S600" s="314"/>
      <c r="T600" s="314"/>
      <c r="U600" s="314"/>
      <c r="V600" s="315"/>
    </row>
    <row r="601" spans="1:22">
      <c r="A601" s="310"/>
      <c r="B601" s="311"/>
      <c r="C601" s="312"/>
      <c r="D601" s="313"/>
      <c r="E601" s="313"/>
      <c r="F601" s="313"/>
      <c r="G601" s="313"/>
      <c r="H601" s="313"/>
      <c r="I601" s="313"/>
      <c r="J601" s="314"/>
      <c r="K601" s="314"/>
      <c r="L601" s="313"/>
      <c r="M601" s="313"/>
      <c r="N601" s="313"/>
      <c r="O601" s="314"/>
      <c r="P601" s="314"/>
      <c r="Q601" s="313"/>
      <c r="R601" s="314"/>
      <c r="S601" s="314"/>
      <c r="T601" s="314"/>
      <c r="U601" s="314"/>
      <c r="V601" s="315"/>
    </row>
    <row r="602" spans="1:22">
      <c r="A602" s="310"/>
      <c r="B602" s="316"/>
      <c r="C602" s="317"/>
      <c r="D602" s="318"/>
      <c r="E602" s="318"/>
      <c r="F602" s="318"/>
      <c r="G602" s="318"/>
      <c r="H602" s="318"/>
      <c r="I602" s="318"/>
      <c r="J602" s="320"/>
      <c r="K602" s="320"/>
      <c r="L602" s="318"/>
      <c r="M602" s="318"/>
      <c r="N602" s="318"/>
      <c r="O602" s="320"/>
      <c r="P602" s="320"/>
      <c r="Q602" s="318"/>
      <c r="R602" s="320"/>
      <c r="S602" s="320"/>
      <c r="T602" s="320"/>
      <c r="U602" s="320"/>
      <c r="V602" s="315"/>
    </row>
    <row r="603" spans="1:22">
      <c r="A603" s="310"/>
      <c r="B603" s="55"/>
      <c r="C603" s="307"/>
      <c r="D603" s="308"/>
      <c r="E603" s="308"/>
      <c r="F603" s="308"/>
      <c r="G603" s="308"/>
      <c r="H603" s="308"/>
      <c r="I603" s="308"/>
      <c r="J603" s="309"/>
      <c r="K603" s="309"/>
      <c r="L603" s="308"/>
      <c r="M603" s="308"/>
      <c r="N603" s="308"/>
      <c r="O603" s="309"/>
      <c r="P603" s="309"/>
      <c r="Q603" s="308"/>
      <c r="R603" s="309"/>
      <c r="S603" s="309"/>
      <c r="T603" s="309"/>
      <c r="U603" s="309"/>
      <c r="V603" s="315"/>
    </row>
    <row r="604" spans="1:22">
      <c r="A604" s="310"/>
      <c r="B604" s="311"/>
      <c r="C604" s="312"/>
      <c r="D604" s="313"/>
      <c r="E604" s="313"/>
      <c r="F604" s="313"/>
      <c r="G604" s="313"/>
      <c r="H604" s="313"/>
      <c r="I604" s="313"/>
      <c r="J604" s="314"/>
      <c r="K604" s="314"/>
      <c r="L604" s="313"/>
      <c r="M604" s="313"/>
      <c r="N604" s="313"/>
      <c r="O604" s="314"/>
      <c r="P604" s="314"/>
      <c r="Q604" s="313"/>
      <c r="R604" s="314"/>
      <c r="S604" s="314"/>
      <c r="T604" s="314"/>
      <c r="U604" s="314"/>
      <c r="V604" s="315"/>
    </row>
    <row r="605" spans="1:22">
      <c r="A605" s="310"/>
      <c r="B605" s="316"/>
      <c r="C605" s="317"/>
      <c r="D605" s="318"/>
      <c r="E605" s="318"/>
      <c r="F605" s="318"/>
      <c r="G605" s="318"/>
      <c r="H605" s="318"/>
      <c r="I605" s="318"/>
      <c r="J605" s="320"/>
      <c r="K605" s="320"/>
      <c r="L605" s="318"/>
      <c r="M605" s="318"/>
      <c r="N605" s="318"/>
      <c r="O605" s="320"/>
      <c r="P605" s="320"/>
      <c r="Q605" s="318"/>
      <c r="R605" s="320"/>
      <c r="S605" s="320"/>
      <c r="T605" s="320"/>
      <c r="U605" s="320"/>
      <c r="V605" s="315"/>
    </row>
    <row r="606" spans="1:22">
      <c r="A606" s="310"/>
      <c r="B606" s="55"/>
      <c r="C606" s="307"/>
      <c r="D606" s="308"/>
      <c r="E606" s="308"/>
      <c r="F606" s="308"/>
      <c r="G606" s="308"/>
      <c r="H606" s="308"/>
      <c r="I606" s="308"/>
      <c r="J606" s="309"/>
      <c r="K606" s="309"/>
      <c r="L606" s="308"/>
      <c r="M606" s="308"/>
      <c r="N606" s="308"/>
      <c r="O606" s="309"/>
      <c r="P606" s="309"/>
      <c r="Q606" s="308"/>
      <c r="R606" s="309"/>
      <c r="S606" s="309"/>
      <c r="T606" s="309"/>
      <c r="U606" s="309"/>
      <c r="V606" s="315"/>
    </row>
    <row r="607" spans="1:22">
      <c r="A607" s="310"/>
      <c r="B607" s="311"/>
      <c r="C607" s="312"/>
      <c r="D607" s="313"/>
      <c r="E607" s="313"/>
      <c r="F607" s="313"/>
      <c r="G607" s="313"/>
      <c r="H607" s="313"/>
      <c r="I607" s="313"/>
      <c r="J607" s="314"/>
      <c r="K607" s="314"/>
      <c r="L607" s="313"/>
      <c r="M607" s="313"/>
      <c r="N607" s="313"/>
      <c r="O607" s="314"/>
      <c r="P607" s="314"/>
      <c r="Q607" s="313"/>
      <c r="R607" s="314"/>
      <c r="S607" s="314"/>
      <c r="T607" s="314"/>
      <c r="U607" s="314"/>
      <c r="V607" s="315"/>
    </row>
    <row r="608" spans="1:22">
      <c r="A608" s="310"/>
      <c r="B608" s="316"/>
      <c r="C608" s="317"/>
      <c r="D608" s="318"/>
      <c r="E608" s="318"/>
      <c r="F608" s="318"/>
      <c r="G608" s="318"/>
      <c r="H608" s="318"/>
      <c r="I608" s="318"/>
      <c r="J608" s="320"/>
      <c r="K608" s="320"/>
      <c r="L608" s="318"/>
      <c r="M608" s="318"/>
      <c r="N608" s="318"/>
      <c r="O608" s="320"/>
      <c r="P608" s="320"/>
      <c r="Q608" s="318"/>
      <c r="R608" s="320"/>
      <c r="S608" s="320"/>
      <c r="T608" s="320"/>
      <c r="U608" s="320"/>
      <c r="V608" s="315"/>
    </row>
    <row r="609" spans="1:22">
      <c r="A609" s="310"/>
      <c r="B609" s="55"/>
      <c r="C609" s="307"/>
      <c r="D609" s="308"/>
      <c r="E609" s="308"/>
      <c r="F609" s="308"/>
      <c r="G609" s="308"/>
      <c r="H609" s="308"/>
      <c r="I609" s="308"/>
      <c r="J609" s="309"/>
      <c r="K609" s="309"/>
      <c r="L609" s="308"/>
      <c r="M609" s="308"/>
      <c r="N609" s="308"/>
      <c r="O609" s="309"/>
      <c r="P609" s="309"/>
      <c r="Q609" s="308"/>
      <c r="R609" s="309"/>
      <c r="S609" s="309"/>
      <c r="T609" s="309"/>
      <c r="U609" s="309"/>
      <c r="V609" s="315"/>
    </row>
    <row r="610" spans="1:22">
      <c r="A610" s="310"/>
      <c r="B610" s="311"/>
      <c r="C610" s="312"/>
      <c r="D610" s="313"/>
      <c r="E610" s="313"/>
      <c r="F610" s="313"/>
      <c r="G610" s="313"/>
      <c r="H610" s="313"/>
      <c r="I610" s="313"/>
      <c r="J610" s="314"/>
      <c r="K610" s="314"/>
      <c r="L610" s="313"/>
      <c r="M610" s="313"/>
      <c r="N610" s="313"/>
      <c r="O610" s="314"/>
      <c r="P610" s="314"/>
      <c r="Q610" s="313"/>
      <c r="R610" s="314"/>
      <c r="S610" s="314"/>
      <c r="T610" s="314"/>
      <c r="U610" s="314"/>
      <c r="V610" s="315"/>
    </row>
    <row r="611" spans="1:22">
      <c r="A611" s="310"/>
      <c r="B611" s="316"/>
      <c r="C611" s="317"/>
      <c r="D611" s="318"/>
      <c r="E611" s="318"/>
      <c r="F611" s="318"/>
      <c r="G611" s="318"/>
      <c r="H611" s="318"/>
      <c r="I611" s="318"/>
      <c r="J611" s="320"/>
      <c r="K611" s="320"/>
      <c r="L611" s="318"/>
      <c r="M611" s="318"/>
      <c r="N611" s="318"/>
      <c r="O611" s="320"/>
      <c r="P611" s="320"/>
      <c r="Q611" s="318"/>
      <c r="R611" s="320"/>
      <c r="S611" s="320"/>
      <c r="T611" s="320"/>
      <c r="U611" s="320"/>
      <c r="V611" s="315"/>
    </row>
    <row r="612" spans="1:22">
      <c r="A612" s="310"/>
      <c r="B612" s="55"/>
      <c r="C612" s="307"/>
      <c r="D612" s="308"/>
      <c r="E612" s="308"/>
      <c r="F612" s="308"/>
      <c r="G612" s="308"/>
      <c r="H612" s="308"/>
      <c r="I612" s="308"/>
      <c r="J612" s="309"/>
      <c r="K612" s="309"/>
      <c r="L612" s="308"/>
      <c r="M612" s="308"/>
      <c r="N612" s="308"/>
      <c r="O612" s="309"/>
      <c r="P612" s="309"/>
      <c r="Q612" s="308"/>
      <c r="R612" s="309"/>
      <c r="S612" s="309"/>
      <c r="T612" s="309"/>
      <c r="U612" s="309"/>
      <c r="V612" s="315"/>
    </row>
    <row r="613" spans="1:22">
      <c r="A613" s="310"/>
      <c r="B613" s="311"/>
      <c r="C613" s="312"/>
      <c r="D613" s="313"/>
      <c r="E613" s="313"/>
      <c r="F613" s="313"/>
      <c r="G613" s="313"/>
      <c r="H613" s="313"/>
      <c r="I613" s="313"/>
      <c r="J613" s="314"/>
      <c r="K613" s="314"/>
      <c r="L613" s="313"/>
      <c r="M613" s="313"/>
      <c r="N613" s="313"/>
      <c r="O613" s="314"/>
      <c r="P613" s="314"/>
      <c r="Q613" s="313"/>
      <c r="R613" s="314"/>
      <c r="S613" s="314"/>
      <c r="T613" s="314"/>
      <c r="U613" s="314"/>
      <c r="V613" s="315"/>
    </row>
    <row r="614" spans="1:22">
      <c r="A614" s="310"/>
      <c r="B614" s="316"/>
      <c r="C614" s="317"/>
      <c r="D614" s="318"/>
      <c r="E614" s="318"/>
      <c r="F614" s="318"/>
      <c r="G614" s="318"/>
      <c r="H614" s="318"/>
      <c r="I614" s="318"/>
      <c r="J614" s="320"/>
      <c r="K614" s="320"/>
      <c r="L614" s="318"/>
      <c r="M614" s="318"/>
      <c r="N614" s="318"/>
      <c r="O614" s="320"/>
      <c r="P614" s="320"/>
      <c r="Q614" s="318"/>
      <c r="R614" s="320"/>
      <c r="S614" s="320"/>
      <c r="T614" s="320"/>
      <c r="U614" s="320"/>
      <c r="V614" s="315"/>
    </row>
    <row r="615" spans="1:22">
      <c r="A615" s="310"/>
      <c r="B615" s="55"/>
      <c r="C615" s="307"/>
      <c r="D615" s="308"/>
      <c r="E615" s="308"/>
      <c r="F615" s="308"/>
      <c r="G615" s="308"/>
      <c r="H615" s="308"/>
      <c r="I615" s="308"/>
      <c r="J615" s="309"/>
      <c r="K615" s="309"/>
      <c r="L615" s="308"/>
      <c r="M615" s="308"/>
      <c r="N615" s="308"/>
      <c r="O615" s="309"/>
      <c r="P615" s="309"/>
      <c r="Q615" s="308"/>
      <c r="R615" s="309"/>
      <c r="S615" s="309"/>
      <c r="T615" s="309"/>
      <c r="U615" s="309"/>
      <c r="V615" s="315"/>
    </row>
    <row r="616" spans="1:22">
      <c r="A616" s="310"/>
      <c r="B616" s="311"/>
      <c r="C616" s="312"/>
      <c r="D616" s="313"/>
      <c r="E616" s="313"/>
      <c r="F616" s="313"/>
      <c r="G616" s="313"/>
      <c r="H616" s="313"/>
      <c r="I616" s="313"/>
      <c r="J616" s="314"/>
      <c r="K616" s="314"/>
      <c r="L616" s="313"/>
      <c r="M616" s="313"/>
      <c r="N616" s="313"/>
      <c r="O616" s="314"/>
      <c r="P616" s="314"/>
      <c r="Q616" s="313"/>
      <c r="R616" s="314"/>
      <c r="S616" s="314"/>
      <c r="T616" s="314"/>
      <c r="U616" s="314"/>
      <c r="V616" s="315"/>
    </row>
    <row r="617" spans="1:22">
      <c r="A617" s="334"/>
      <c r="B617" s="316"/>
      <c r="C617" s="317"/>
      <c r="D617" s="318"/>
      <c r="E617" s="318"/>
      <c r="F617" s="318"/>
      <c r="G617" s="318"/>
      <c r="H617" s="318"/>
      <c r="I617" s="318"/>
      <c r="J617" s="320"/>
      <c r="K617" s="320"/>
      <c r="L617" s="318"/>
      <c r="M617" s="318"/>
      <c r="N617" s="318"/>
      <c r="O617" s="320"/>
      <c r="P617" s="320"/>
      <c r="Q617" s="318"/>
      <c r="R617" s="320"/>
      <c r="S617" s="320"/>
      <c r="T617" s="320"/>
      <c r="U617" s="320"/>
      <c r="V617" s="3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3213-1D4C-4F0B-B105-DC4FC802B970}">
  <sheetPr>
    <tabColor theme="4" tint="0.39997558519241921"/>
  </sheetPr>
  <dimension ref="A1:AG83"/>
  <sheetViews>
    <sheetView topLeftCell="A61" workbookViewId="0">
      <selection activeCell="F12" sqref="F12"/>
    </sheetView>
  </sheetViews>
  <sheetFormatPr defaultRowHeight="15.5"/>
  <cols>
    <col min="1" max="1" width="11.765625" style="110" customWidth="1"/>
    <col min="2" max="3" width="10.3046875" bestFit="1" customWidth="1"/>
    <col min="4" max="5" width="10" bestFit="1" customWidth="1"/>
    <col min="6" max="9" width="10.3046875" bestFit="1" customWidth="1"/>
    <col min="10" max="15" width="9.23046875" customWidth="1"/>
    <col min="16" max="17" width="11.3046875" bestFit="1" customWidth="1"/>
    <col min="18" max="18" width="11.53515625" customWidth="1"/>
    <col min="19" max="19" width="10.3046875" bestFit="1" customWidth="1"/>
    <col min="20" max="21" width="11" bestFit="1" customWidth="1"/>
    <col min="22" max="23" width="10.3046875" bestFit="1" customWidth="1"/>
    <col min="24" max="25" width="9.23046875" customWidth="1"/>
    <col min="26" max="27" width="11" bestFit="1" customWidth="1"/>
    <col min="28" max="29" width="10" bestFit="1" customWidth="1"/>
    <col min="30" max="31" width="9.23046875" customWidth="1"/>
    <col min="32" max="33" width="10.3046875" bestFit="1" customWidth="1"/>
  </cols>
  <sheetData>
    <row r="1" spans="1:33">
      <c r="A1" s="109" t="s">
        <v>613</v>
      </c>
    </row>
    <row r="2" spans="1:33">
      <c r="B2" s="111" t="s">
        <v>614</v>
      </c>
      <c r="C2" s="112"/>
      <c r="D2" s="112"/>
      <c r="E2" s="112"/>
      <c r="F2" s="112"/>
      <c r="G2" s="112"/>
      <c r="H2" s="112"/>
      <c r="I2" s="112"/>
      <c r="J2" s="112"/>
      <c r="K2" s="112"/>
      <c r="L2" s="112"/>
      <c r="M2" s="112"/>
      <c r="N2" s="112"/>
      <c r="O2" s="112"/>
      <c r="P2" s="112"/>
      <c r="Q2" s="112"/>
      <c r="R2" s="113" t="s">
        <v>615</v>
      </c>
      <c r="S2" s="114"/>
      <c r="T2" s="114"/>
      <c r="U2" s="114"/>
      <c r="V2" s="114"/>
      <c r="W2" s="114"/>
      <c r="X2" s="114"/>
      <c r="Y2" s="114"/>
      <c r="Z2" s="114"/>
      <c r="AA2" s="114"/>
      <c r="AB2" s="115" t="s">
        <v>616</v>
      </c>
      <c r="AC2" s="116"/>
      <c r="AD2" s="116"/>
      <c r="AE2" s="116"/>
      <c r="AF2" s="116"/>
      <c r="AG2" s="116"/>
    </row>
    <row r="3" spans="1:33">
      <c r="B3" s="117">
        <v>1</v>
      </c>
      <c r="C3" s="118"/>
      <c r="D3" s="117">
        <v>2</v>
      </c>
      <c r="E3" s="118"/>
      <c r="F3" s="117">
        <v>3</v>
      </c>
      <c r="G3" s="118"/>
      <c r="H3" s="117">
        <v>4</v>
      </c>
      <c r="I3" s="118"/>
      <c r="J3" s="117">
        <v>5</v>
      </c>
      <c r="K3" s="118"/>
      <c r="L3" s="117">
        <v>6</v>
      </c>
      <c r="M3" s="118"/>
      <c r="N3" s="117">
        <v>15</v>
      </c>
      <c r="O3" s="118"/>
      <c r="P3" s="117" t="s">
        <v>617</v>
      </c>
      <c r="Q3" s="119"/>
      <c r="R3" s="120">
        <v>7</v>
      </c>
      <c r="S3" s="121"/>
      <c r="T3" s="120">
        <v>8</v>
      </c>
      <c r="U3" s="121"/>
      <c r="V3" s="120">
        <v>9</v>
      </c>
      <c r="W3" s="121"/>
      <c r="X3" s="120">
        <v>10</v>
      </c>
      <c r="Y3" s="121"/>
      <c r="Z3" s="120" t="s">
        <v>617</v>
      </c>
      <c r="AA3" s="121"/>
      <c r="AB3" s="122">
        <v>12</v>
      </c>
      <c r="AC3" s="123"/>
      <c r="AD3" s="122">
        <v>13</v>
      </c>
      <c r="AE3" s="123"/>
      <c r="AF3" s="122" t="s">
        <v>617</v>
      </c>
      <c r="AG3" s="123"/>
    </row>
    <row r="4" spans="1:33" s="130" customFormat="1">
      <c r="A4" s="124"/>
      <c r="B4" s="125">
        <v>2019</v>
      </c>
      <c r="C4" s="126">
        <v>2020</v>
      </c>
      <c r="D4" s="125">
        <v>2019</v>
      </c>
      <c r="E4" s="126">
        <v>2020</v>
      </c>
      <c r="F4" s="125">
        <v>2019</v>
      </c>
      <c r="G4" s="126">
        <v>2020</v>
      </c>
      <c r="H4" s="125">
        <v>2019</v>
      </c>
      <c r="I4" s="126">
        <v>2020</v>
      </c>
      <c r="J4" s="125">
        <v>2019</v>
      </c>
      <c r="K4" s="126">
        <v>2020</v>
      </c>
      <c r="L4" s="125">
        <v>2019</v>
      </c>
      <c r="M4" s="126">
        <v>2020</v>
      </c>
      <c r="N4" s="125">
        <v>2019</v>
      </c>
      <c r="O4" s="126">
        <v>2020</v>
      </c>
      <c r="P4" s="125">
        <v>2019</v>
      </c>
      <c r="Q4" s="126">
        <v>2020</v>
      </c>
      <c r="R4" s="127">
        <v>2019</v>
      </c>
      <c r="S4" s="128">
        <v>2020</v>
      </c>
      <c r="T4" s="127">
        <v>2019</v>
      </c>
      <c r="U4" s="128">
        <v>2020</v>
      </c>
      <c r="V4" s="127">
        <v>2019</v>
      </c>
      <c r="W4" s="128">
        <v>2020</v>
      </c>
      <c r="X4" s="127">
        <v>2019</v>
      </c>
      <c r="Y4" s="128">
        <v>2020</v>
      </c>
      <c r="Z4" s="127">
        <v>2019</v>
      </c>
      <c r="AA4" s="128">
        <v>2020</v>
      </c>
      <c r="AB4" s="127">
        <v>2019</v>
      </c>
      <c r="AC4" s="129">
        <v>2020</v>
      </c>
      <c r="AD4" s="127">
        <v>2019</v>
      </c>
      <c r="AE4" s="129">
        <v>2020</v>
      </c>
      <c r="AF4" s="127">
        <v>2019</v>
      </c>
      <c r="AG4" s="129">
        <v>2020</v>
      </c>
    </row>
    <row r="5" spans="1:33">
      <c r="A5" s="110" t="s">
        <v>618</v>
      </c>
      <c r="B5" s="97">
        <f>GETPIVOTDATA("Sum of OLD-Tot UG SCH Calc",'Pivot Table for Fact Book'!$A$3,"State","AL","type",1,"Type2","Four-Year")</f>
        <v>1973441</v>
      </c>
      <c r="C5" s="98">
        <f>GETPIVOTDATA("Sum of NEW-Tot UG SCH Calc",'Pivot Table for Fact Book'!$A$3,"State","AL","type",1,"Type2","Four-Year")</f>
        <v>1949406</v>
      </c>
      <c r="D5" s="97">
        <f>GETPIVOTDATA("Sum of OLD-Tot UG SCH Calc",'Pivot Table for Fact Book'!$A$3,"State","AL","type",2,"Type2","Four-Year")</f>
        <v>464800</v>
      </c>
      <c r="E5" s="98">
        <f>GETPIVOTDATA("Sum of NEW-Tot UG SCH Calc",'Pivot Table for Fact Book'!$A$3,"State","AL","type",2,"Type2","Four-Year")</f>
        <v>451735</v>
      </c>
      <c r="F5" s="97">
        <f>GETPIVOTDATA("Sum of OLD-Tot UG SCH Calc",'Pivot Table for Fact Book'!$A$3,"State","AL","type",3,"Type2","Four-Year")</f>
        <v>931874</v>
      </c>
      <c r="G5" s="98">
        <f>GETPIVOTDATA("Sum of NEW-Tot UG SCH Calc",'Pivot Table for Fact Book'!$A$3,"State","AL","type",3,"Type2","Four-Year")</f>
        <v>945282</v>
      </c>
      <c r="H5" s="97">
        <f>GETPIVOTDATA("Sum of OLD-Tot UG SCH Calc",'Pivot Table for Fact Book'!$A$3,"State","AL","type",4,"Type2","Four-Year")</f>
        <v>175734</v>
      </c>
      <c r="I5" s="98">
        <f>GETPIVOTDATA("Sum of NEW-Tot UG SCH Calc",'Pivot Table for Fact Book'!$A$3,"State","AL","type",4,"Type2","Four-Year")</f>
        <v>173450</v>
      </c>
      <c r="J5" s="97">
        <f>GETPIVOTDATA("Sum of OLD-Tot UG SCH Calc",'Pivot Table for Fact Book'!$A$3,"State","AL","type",5,"Type2","Four-Year")</f>
        <v>61935</v>
      </c>
      <c r="K5" s="98">
        <f>GETPIVOTDATA("Sum of NEW-Tot UG SCH Calc",'Pivot Table for Fact Book'!$A$3,"State","AL","type",5,"Type2","Four-Year")</f>
        <v>62260</v>
      </c>
      <c r="L5" s="97">
        <f>GETPIVOTDATA("Sum of OLD-Tot UG SCH Calc",'Pivot Table for Fact Book'!$A$3,"State","AL","type",6,"Type2","Four-Year")</f>
        <v>64093</v>
      </c>
      <c r="M5" s="98">
        <f>GETPIVOTDATA("Sum of NEW-Tot UG SCH Calc",'Pivot Table for Fact Book'!$A$3,"State","AL","type",6,"Type2","Four-Year")</f>
        <v>65049</v>
      </c>
      <c r="N5" s="97">
        <f>GETPIVOTDATA("Sum of OLD-Tot UG SCH Calc",'Pivot Table for Fact Book'!$A$3,"State","AL","type",15,"Type2","Four-Year")</f>
        <v>12854</v>
      </c>
      <c r="O5" s="98">
        <f>GETPIVOTDATA("Sum of NEW-Tot UG SCH Calc",'Pivot Table for Fact Book'!$A$3,"State","AL","type",15,"Type2","Four-Year")</f>
        <v>12708</v>
      </c>
      <c r="P5" s="99">
        <f>GETPIVOTDATA("Sum of OLD-Tot UG SCH Calc",'Pivot Table for Fact Book'!$A$3,"State","AL","Type2","Four-Year")</f>
        <v>3684731</v>
      </c>
      <c r="Q5" s="99">
        <f>GETPIVOTDATA("Sum of NEW-Tot UG SCH Calc",'Pivot Table for Fact Book'!$A$3,"State","AL","Type2","Four-Year")</f>
        <v>3659890</v>
      </c>
      <c r="R5" s="97">
        <f>GETPIVOTDATA("Sum of OLD-Tot UG SCH Calc",'Pivot Table for Fact Book'!$A$3,"State","AL","type",7,"Type2","Two-Year")</f>
        <v>0</v>
      </c>
      <c r="S5" s="98">
        <f>GETPIVOTDATA("Sum of NEW-Tot UG SCH Calc",'Pivot Table for Fact Book'!$A$3,"State","AL","type",7,"Type2","Two-Year")</f>
        <v>0</v>
      </c>
      <c r="T5" s="98">
        <f>GETPIVOTDATA("Sum of OLD-Tot UG SCH Calc",'Pivot Table for Fact Book'!$A$3,"State","AL","type",8,"Type2","Two-Year")</f>
        <v>530031</v>
      </c>
      <c r="U5" s="98">
        <f>GETPIVOTDATA("Sum of NEW-Tot UG SCH Calc",'Pivot Table for Fact Book'!$A$3,"State","AL","type",8,"Type2","Two-Year")</f>
        <v>493936</v>
      </c>
      <c r="V5" s="98">
        <f>GETPIVOTDATA("Sum of OLD-Tot UG SCH Calc",'Pivot Table for Fact Book'!$A$3,"State","AL","type",9,"Type2","Two-Year")</f>
        <v>833922</v>
      </c>
      <c r="W5" s="98">
        <f>GETPIVOTDATA("Sum of NEW-Tot UG SCH Calc",'Pivot Table for Fact Book'!$A$3,"State","AL","type",9,"Type2","Two-Year")</f>
        <v>755028</v>
      </c>
      <c r="X5" s="98">
        <f>GETPIVOTDATA("Sum of OLD-Tot UG SCH Calc",'Pivot Table for Fact Book'!$A$3,"State","AL","type",10,"Type2","Two-Year")</f>
        <v>312314</v>
      </c>
      <c r="Y5" s="98">
        <f>GETPIVOTDATA("Sum of NEW-Tot UG SCH Calc",'Pivot Table for Fact Book'!$A$3,"State","AL","type",10,"Type2","Two-Year")</f>
        <v>290143</v>
      </c>
      <c r="Z5" s="100">
        <f>GETPIVOTDATA("Sum of OLD-Tot UG SCH Calc",'Pivot Table for Fact Book'!$A$3,"State","AL","Type2","Two-Year")</f>
        <v>1676267</v>
      </c>
      <c r="AA5" s="100">
        <f>GETPIVOTDATA("Sum of NEW-Tot UG SCH Calc",'Pivot Table for Fact Book'!$A$3,"State","AL","Type2","Two-Year")</f>
        <v>1539107</v>
      </c>
      <c r="AB5" s="97">
        <f>+GETPIVOTDATA("Sum of OLD-Tot UG SCH Calc",'Pivot Table for Fact Book'!$A$3,"State","AL","type",12,"type2","Techncial")</f>
        <v>44337</v>
      </c>
      <c r="AC5" s="98">
        <f>+GETPIVOTDATA("Sum of NEW-Tot UG SCH Calc",'Pivot Table for Fact Book'!$A$3,"State","AL","type",12,"type2","Techncial")</f>
        <v>40736</v>
      </c>
      <c r="AD5" s="97">
        <f>+GETPIVOTDATA("Sum of OLD-Tot UG SCH Calc",'Pivot Table for Fact Book'!$A$3,"State","AL","type",13,"type2","Techncial")</f>
        <v>45115</v>
      </c>
      <c r="AE5" s="98">
        <f>+GETPIVOTDATA("Sum of NEW-Tot UG SCH Calc",'Pivot Table for Fact Book'!$A$3,"State","AL","type",13,"type2","Techncial")</f>
        <v>37178</v>
      </c>
      <c r="AF5" s="101">
        <f>+GETPIVOTDATA("Sum of OLD-Tot UG SCH Calc",'Pivot Table for Fact Book'!$A$3,"State","AL","type2","Techncial")</f>
        <v>89452</v>
      </c>
      <c r="AG5" s="102">
        <f>+GETPIVOTDATA("Sum of NEW-Tot UG SCH Calc",'Pivot Table for Fact Book'!$A$3,"State","AL","type2","Techncial")</f>
        <v>77914</v>
      </c>
    </row>
    <row r="6" spans="1:33">
      <c r="A6" s="110" t="s">
        <v>619</v>
      </c>
      <c r="B6" s="97">
        <f>GETPIVOTDATA("Sum of OLD-Tot UG SCH Calc",'Pivot Table for Fact Book'!$A$3,"State","AR","type",1,"Type2","Four-Year")</f>
        <v>670354</v>
      </c>
      <c r="C6" s="98">
        <f>GETPIVOTDATA("Sum of NEW-Tot UG SCH Calc",'Pivot Table for Fact Book'!$A$3,"State","AR","type",1,"Type2","Four-Year")</f>
        <v>657385</v>
      </c>
      <c r="D6" s="97">
        <f>GETPIVOTDATA("Sum of OLD-Tot UG SCH Calc",'Pivot Table for Fact Book'!$A$3,"State","AR","type",2,"Type2","Four-Year")</f>
        <v>168675</v>
      </c>
      <c r="E6" s="98">
        <f>GETPIVOTDATA("Sum of NEW-Tot UG SCH Calc",'Pivot Table for Fact Book'!$A$3,"State","AR","type",2,"Type2","Four-Year")</f>
        <v>170986</v>
      </c>
      <c r="F6" s="97">
        <f>GETPIVOTDATA("Sum of OLD-Tot UG SCH Calc",'Pivot Table for Fact Book'!$A$3,"State","AR","type",3,"Type2","Four-Year")</f>
        <v>756177</v>
      </c>
      <c r="G6" s="98">
        <f>GETPIVOTDATA("Sum of NEW-Tot UG SCH Calc",'Pivot Table for Fact Book'!$A$3,"State","AR","type",3,"Type2","Four-Year")</f>
        <v>738023</v>
      </c>
      <c r="H6" s="97">
        <f>GETPIVOTDATA("Sum of OLD-Tot UG SCH Calc",'Pivot Table for Fact Book'!$A$3,"State","AR","type",4,"Type2","Four-Year")</f>
        <v>260074</v>
      </c>
      <c r="I6" s="98">
        <f>GETPIVOTDATA("Sum of NEW-Tot UG SCH Calc",'Pivot Table for Fact Book'!$A$3,"State","AR","type",4,"Type2","Four-Year")</f>
        <v>253830</v>
      </c>
      <c r="J6" s="97">
        <f>GETPIVOTDATA("Sum of OLD-Tot UG SCH Calc",'Pivot Table for Fact Book'!$A$3,"State","AR","type",5,"Type2","Four-Year")</f>
        <v>0</v>
      </c>
      <c r="K6" s="98">
        <f>GETPIVOTDATA("Sum of NEW-Tot UG SCH Calc",'Pivot Table for Fact Book'!$A$3,"State","AR","type",5,"Type2","Four-Year")</f>
        <v>0</v>
      </c>
      <c r="L6" s="97">
        <f>GETPIVOTDATA("Sum of OLD-Tot UG SCH Calc",'Pivot Table for Fact Book'!$A$3,"State","AR","type",6,"Type2","Four-Year")</f>
        <v>227132</v>
      </c>
      <c r="M6" s="98">
        <f>GETPIVOTDATA("Sum of NEW-Tot UG SCH Calc",'Pivot Table for Fact Book'!$A$3,"State","AR","type",6,"Type2","Four-Year")</f>
        <v>214379</v>
      </c>
      <c r="N6" s="97">
        <f>GETPIVOTDATA("Sum of OLD-Tot UG SCH Calc",'Pivot Table for Fact Book'!$A$3,"State","AR","type",15,"Type2","Four-Year")</f>
        <v>19976</v>
      </c>
      <c r="O6" s="98">
        <f>GETPIVOTDATA("Sum of NEW-Tot UG SCH Calc",'Pivot Table for Fact Book'!$A$3,"State","AR","type",15,"Type2","Four-Year")</f>
        <v>19701</v>
      </c>
      <c r="P6" s="99">
        <f>GETPIVOTDATA("Sum of OLD-Tot UG SCH Calc",'Pivot Table for Fact Book'!$A$3,"State","AR","Type2","Four-Year")</f>
        <v>2102388</v>
      </c>
      <c r="Q6" s="99">
        <f>GETPIVOTDATA("Sum of NEW-Tot UG SCH Calc",'Pivot Table for Fact Book'!$A$3,"State","AR","Type2","Four-Year")</f>
        <v>2054304</v>
      </c>
      <c r="R6" s="97">
        <f>GETPIVOTDATA("Sum of OLD-Tot UG SCH Calc",'Pivot Table for Fact Book'!$A$3,"State","AR","type",7,"Type2","Two-Year")</f>
        <v>0</v>
      </c>
      <c r="S6" s="98">
        <f>GETPIVOTDATA("Sum of NEW-Tot UG SCH Calc",'Pivot Table for Fact Book'!$A$3,"State","AR","type",7,"Type2","Two-Year")</f>
        <v>0</v>
      </c>
      <c r="T6" s="98">
        <f>GETPIVOTDATA("Sum of OLD-Tot UG SCH Calc",'Pivot Table for Fact Book'!$A$3,"State","AR","type",8,"Type2","Two-Year")</f>
        <v>149512</v>
      </c>
      <c r="U6" s="98">
        <f>GETPIVOTDATA("Sum of NEW-Tot UG SCH Calc",'Pivot Table for Fact Book'!$A$3,"State","AR","type",8,"Type2","Two-Year")</f>
        <v>151510</v>
      </c>
      <c r="V6" s="98">
        <f>GETPIVOTDATA("Sum of OLD-Tot UG SCH Calc",'Pivot Table for Fact Book'!$A$3,"State","AR","type",9,"Type2","Two-Year")</f>
        <v>187247</v>
      </c>
      <c r="W6" s="98">
        <f>GETPIVOTDATA("Sum of NEW-Tot UG SCH Calc",'Pivot Table for Fact Book'!$A$3,"State","AR","type",9,"Type2","Two-Year")</f>
        <v>190354</v>
      </c>
      <c r="X6" s="98">
        <f>GETPIVOTDATA("Sum of OLD-Tot UG SCH Calc",'Pivot Table for Fact Book'!$A$3,"State","AR","type",10,"Type2","Two-Year")</f>
        <v>591570</v>
      </c>
      <c r="Y6" s="98">
        <f>GETPIVOTDATA("Sum of NEW-Tot UG SCH Calc",'Pivot Table for Fact Book'!$A$3,"State","AR","type",10,"Type2","Two-Year")</f>
        <v>583040</v>
      </c>
      <c r="Z6" s="100">
        <f>GETPIVOTDATA("Sum of OLD-Tot UG SCH Calc",'Pivot Table for Fact Book'!$A$3,"State","AR","Type2","Two-Year")</f>
        <v>928329</v>
      </c>
      <c r="AA6" s="100">
        <f>GETPIVOTDATA("Sum of NEW-Tot UG SCH Calc",'Pivot Table for Fact Book'!$A$3,"State","AR","Type2","Two-Year")</f>
        <v>924904</v>
      </c>
      <c r="AB6" s="97">
        <f>+GETPIVOTDATA("Sum of OLD-Tot UG SCH Calc",'Pivot Table for Fact Book'!$A$3,"State","AR","type",12,"type2","Techncial")</f>
        <v>0</v>
      </c>
      <c r="AC6" s="98">
        <f>+GETPIVOTDATA("Sum of NEW-Tot UG SCH Calc",'Pivot Table for Fact Book'!$A$3,"State","AR","type",12,"type2","Techncial")</f>
        <v>0</v>
      </c>
      <c r="AD6" s="97">
        <f>+GETPIVOTDATA("Sum of OLD-Tot UG SCH Calc",'Pivot Table for Fact Book'!$A$3,"State","AR","type",13,"type2","Techncial")</f>
        <v>0</v>
      </c>
      <c r="AE6" s="98">
        <f>+GETPIVOTDATA("Sum of NEW-Tot UG SCH Calc",'Pivot Table for Fact Book'!$A$3,"State","AR","type",13,"type2","Techncial")</f>
        <v>0</v>
      </c>
      <c r="AF6" s="101">
        <f>+GETPIVOTDATA("Sum of OLD-Tot UG SCH Calc",'Pivot Table for Fact Book'!$A$3,"State","AR","type2","Techncial")</f>
        <v>0</v>
      </c>
      <c r="AG6" s="102">
        <f>+GETPIVOTDATA("Sum of NEW-Tot UG SCH Calc",'Pivot Table for Fact Book'!$A$3,"State","AR","type2","Techncial")</f>
        <v>0</v>
      </c>
    </row>
    <row r="7" spans="1:33">
      <c r="A7" s="110" t="s">
        <v>620</v>
      </c>
      <c r="B7" s="97">
        <f>GETPIVOTDATA("Sum of OLD-Tot UG SCH Calc",'Pivot Table for Fact Book'!$A$3,"State","DE","type",1,"Type2","Four-Year")</f>
        <v>599291</v>
      </c>
      <c r="C7" s="98">
        <f>GETPIVOTDATA("Sum of NEW-Tot UG SCH Calc",'Pivot Table for Fact Book'!$A$3,"State","DE","type",1,"Type2","Four-Year")</f>
        <v>600612</v>
      </c>
      <c r="D7" s="97">
        <f>GETPIVOTDATA("Sum of OLD-Tot UG SCH Calc",'Pivot Table for Fact Book'!$A$3,"State","DE","type",2,"Type2","Four-Year")</f>
        <v>0</v>
      </c>
      <c r="E7" s="98">
        <f>GETPIVOTDATA("Sum of NEW-Tot UG SCH Calc",'Pivot Table for Fact Book'!$A$3,"State","DE","type",2,"Type2","Four-Year")</f>
        <v>0</v>
      </c>
      <c r="F7" s="97">
        <f>GETPIVOTDATA("Sum of OLD-Tot UG SCH Calc",'Pivot Table for Fact Book'!$A$3,"State","DE","type",3,"Type2","Four-Year")</f>
        <v>128111</v>
      </c>
      <c r="G7" s="98">
        <f>GETPIVOTDATA("Sum of NEW-Tot UG SCH Calc",'Pivot Table for Fact Book'!$A$3,"State","DE","type",3,"Type2","Four-Year")</f>
        <v>131706</v>
      </c>
      <c r="H7" s="97">
        <f>GETPIVOTDATA("Sum of OLD-Tot UG SCH Calc",'Pivot Table for Fact Book'!$A$3,"State","DE","type",4,"Type2","Four-Year")</f>
        <v>0</v>
      </c>
      <c r="I7" s="98">
        <f>GETPIVOTDATA("Sum of NEW-Tot UG SCH Calc",'Pivot Table for Fact Book'!$A$3,"State","DE","type",4,"Type2","Four-Year")</f>
        <v>0</v>
      </c>
      <c r="J7" s="97">
        <f>GETPIVOTDATA("Sum of OLD-Tot UG SCH Calc",'Pivot Table for Fact Book'!$A$3,"State","DE","type",5,"Type2","Four-Year")</f>
        <v>0</v>
      </c>
      <c r="K7" s="98">
        <f>GETPIVOTDATA("Sum of NEW-Tot UG SCH Calc",'Pivot Table for Fact Book'!$A$3,"State","DE","type",5,"Type2","Four-Year")</f>
        <v>0</v>
      </c>
      <c r="L7" s="97">
        <f>GETPIVOTDATA("Sum of OLD-Tot UG SCH Calc",'Pivot Table for Fact Book'!$A$3,"State","DE","type",6,"Type2","Four-Year")</f>
        <v>0</v>
      </c>
      <c r="M7" s="98">
        <f>GETPIVOTDATA("Sum of NEW-Tot UG SCH Calc",'Pivot Table for Fact Book'!$A$3,"State","DE","type",6,"Type2","Four-Year")</f>
        <v>0</v>
      </c>
      <c r="N7" s="97">
        <f>GETPIVOTDATA("Sum of OLD-Tot UG SCH Calc",'Pivot Table for Fact Book'!$A$3,"State","DE","type",15,"Type2","Four-Year")</f>
        <v>0</v>
      </c>
      <c r="O7" s="98">
        <f>GETPIVOTDATA("Sum of NEW-Tot UG SCH Calc",'Pivot Table for Fact Book'!$A$3,"State","DE","type",15,"Type2","Four-Year")</f>
        <v>0</v>
      </c>
      <c r="P7" s="99">
        <f>GETPIVOTDATA("Sum of OLD-Tot UG SCH Calc",'Pivot Table for Fact Book'!$A$3,"State","DE","Type2","Four-Year")</f>
        <v>727402</v>
      </c>
      <c r="Q7" s="99">
        <f>GETPIVOTDATA("Sum of NEW-Tot UG SCH Calc",'Pivot Table for Fact Book'!$A$3,"State","DE","Type2","Four-Year")</f>
        <v>732318</v>
      </c>
      <c r="R7" s="97">
        <f>GETPIVOTDATA("Sum of OLD-Tot UG SCH Calc",'Pivot Table for Fact Book'!$A$3,"State","DE","type",7,"Type2","Two-Year")</f>
        <v>0</v>
      </c>
      <c r="S7" s="98">
        <f>GETPIVOTDATA("Sum of NEW-Tot UG SCH Calc",'Pivot Table for Fact Book'!$A$3,"State","DE","type",7,"Type2","Two-Year")</f>
        <v>0</v>
      </c>
      <c r="T7" s="98">
        <f>GETPIVOTDATA("Sum of OLD-Tot UG SCH Calc",'Pivot Table for Fact Book'!$A$3,"State","DE","type",8,"Type2","Two-Year")</f>
        <v>0</v>
      </c>
      <c r="U7" s="98">
        <f>GETPIVOTDATA("Sum of NEW-Tot UG SCH Calc",'Pivot Table for Fact Book'!$A$3,"State","DE","type",8,"Type2","Two-Year")</f>
        <v>0</v>
      </c>
      <c r="V7" s="98">
        <f>GETPIVOTDATA("Sum of OLD-Tot UG SCH Calc",'Pivot Table for Fact Book'!$A$3,"State","DE","type",9,"Type2","Two-Year")</f>
        <v>259787</v>
      </c>
      <c r="W7" s="98">
        <f>GETPIVOTDATA("Sum of NEW-Tot UG SCH Calc",'Pivot Table for Fact Book'!$A$3,"State","DE","type",9,"Type2","Two-Year")</f>
        <v>240081</v>
      </c>
      <c r="X7" s="98">
        <f>GETPIVOTDATA("Sum of OLD-Tot UG SCH Calc",'Pivot Table for Fact Book'!$A$3,"State","DE","type",10,"Type2","Two-Year")</f>
        <v>0</v>
      </c>
      <c r="Y7" s="98">
        <f>GETPIVOTDATA("Sum of NEW-Tot UG SCH Calc",'Pivot Table for Fact Book'!$A$3,"State","DE","type",10,"Type2","Two-Year")</f>
        <v>0</v>
      </c>
      <c r="Z7" s="100">
        <f>GETPIVOTDATA("Sum of OLD-Tot UG SCH Calc",'Pivot Table for Fact Book'!$A$3,"State","DE","Type2","Two-Year")</f>
        <v>259787</v>
      </c>
      <c r="AA7" s="100">
        <f>GETPIVOTDATA("Sum of NEW-Tot UG SCH Calc",'Pivot Table for Fact Book'!$A$3,"State","DE","Type2","Two-Year")</f>
        <v>240081</v>
      </c>
      <c r="AB7" s="97">
        <f>+GETPIVOTDATA("Sum of OLD-Tot UG SCH Calc",'Pivot Table for Fact Book'!$A$3,"State","DE","type",12,"type2","Techncial")</f>
        <v>0</v>
      </c>
      <c r="AC7" s="98">
        <f>+GETPIVOTDATA("Sum of NEW-Tot UG SCH Calc",'Pivot Table for Fact Book'!$A$3,"State","DE","type",12,"type2","Techncial")</f>
        <v>0</v>
      </c>
      <c r="AD7" s="97">
        <f>+GETPIVOTDATA("Sum of OLD-Tot UG SCH Calc",'Pivot Table for Fact Book'!$A$3,"State","DE","type",13,"type2","Techncial")</f>
        <v>0</v>
      </c>
      <c r="AE7" s="98">
        <f>+GETPIVOTDATA("Sum of NEW-Tot UG SCH Calc",'Pivot Table for Fact Book'!$A$3,"State","DE","type",13,"type2","Techncial")</f>
        <v>0</v>
      </c>
      <c r="AF7" s="101">
        <f>+GETPIVOTDATA("Sum of OLD-Tot UG SCH Calc",'Pivot Table for Fact Book'!$A$3,"State","DE","type2","Techncial")</f>
        <v>0</v>
      </c>
      <c r="AG7" s="102">
        <f>+GETPIVOTDATA("Sum of NEW-Tot UG SCH Calc",'Pivot Table for Fact Book'!$A$3,"State","DE","type2","Techncial")</f>
        <v>0</v>
      </c>
    </row>
    <row r="8" spans="1:33">
      <c r="A8" s="110" t="s">
        <v>621</v>
      </c>
      <c r="B8" s="97">
        <f>GETPIVOTDATA("Sum of OLD-Tot UG SCH Calc",'Pivot Table for Fact Book'!$A$3,"State","FL","type",1,"Type2","Four-Year")</f>
        <v>0</v>
      </c>
      <c r="C8" s="98">
        <f>GETPIVOTDATA("Sum of NEW-Tot UG SCH Calc",'Pivot Table for Fact Book'!$A$3,"State","FL","type",1,"Type2","Four-Year")</f>
        <v>0</v>
      </c>
      <c r="D8" s="97">
        <f>GETPIVOTDATA("Sum of OLD-Tot UG SCH Calc",'Pivot Table for Fact Book'!$A$3,"State","FL","type",2,"Type2","Four-Year")</f>
        <v>0</v>
      </c>
      <c r="E8" s="98">
        <f>GETPIVOTDATA("Sum of NEW-Tot UG SCH Calc",'Pivot Table for Fact Book'!$A$3,"State","FL","type",2,"Type2","Four-Year")</f>
        <v>0</v>
      </c>
      <c r="F8" s="97">
        <f>GETPIVOTDATA("Sum of OLD-Tot UG SCH Calc",'Pivot Table for Fact Book'!$A$3,"State","FL","type",3,"Type2","Four-Year")</f>
        <v>0</v>
      </c>
      <c r="G8" s="98">
        <f>GETPIVOTDATA("Sum of NEW-Tot UG SCH Calc",'Pivot Table for Fact Book'!$A$3,"State","FL","type",3,"Type2","Four-Year")</f>
        <v>0</v>
      </c>
      <c r="H8" s="97">
        <f>GETPIVOTDATA("Sum of OLD-Tot UG SCH Calc",'Pivot Table for Fact Book'!$A$3,"State","FL","type",4,"Type2","Four-Year")</f>
        <v>0</v>
      </c>
      <c r="I8" s="98">
        <f>GETPIVOTDATA("Sum of NEW-Tot UG SCH Calc",'Pivot Table for Fact Book'!$A$3,"State","FL","type",4,"Type2","Four-Year")</f>
        <v>0</v>
      </c>
      <c r="J8" s="97">
        <f>GETPIVOTDATA("Sum of OLD-Tot UG SCH Calc",'Pivot Table for Fact Book'!$A$3,"State","FL","type",5,"Type2","Four-Year")</f>
        <v>0</v>
      </c>
      <c r="K8" s="98">
        <f>GETPIVOTDATA("Sum of NEW-Tot UG SCH Calc",'Pivot Table for Fact Book'!$A$3,"State","FL","type",5,"Type2","Four-Year")</f>
        <v>0</v>
      </c>
      <c r="L8" s="97">
        <f>GETPIVOTDATA("Sum of OLD-Tot UG SCH Calc",'Pivot Table for Fact Book'!$A$3,"State","FL","type",6,"Type2","Four-Year")</f>
        <v>0</v>
      </c>
      <c r="M8" s="98">
        <f>GETPIVOTDATA("Sum of NEW-Tot UG SCH Calc",'Pivot Table for Fact Book'!$A$3,"State","FL","type",6,"Type2","Four-Year")</f>
        <v>0</v>
      </c>
      <c r="N8" s="97">
        <f>GETPIVOTDATA("Sum of OLD-Tot UG SCH Calc",'Pivot Table for Fact Book'!$A$3,"State","FL","type",15,"Type2","Four-Year")</f>
        <v>0</v>
      </c>
      <c r="O8" s="98">
        <f>GETPIVOTDATA("Sum of NEW-Tot UG SCH Calc",'Pivot Table for Fact Book'!$A$3,"State","FL","type",15,"Type2","Four-Year")</f>
        <v>0</v>
      </c>
      <c r="P8" s="99">
        <f>GETPIVOTDATA("Sum of OLD-Tot UG SCH Calc",'Pivot Table for Fact Book'!$A$3,"State","FL","Type2","Four-Year")</f>
        <v>0</v>
      </c>
      <c r="Q8" s="99">
        <f>GETPIVOTDATA("Sum of NEW-Tot UG SCH Calc",'Pivot Table for Fact Book'!$A$3,"State","FL","Type2","Four-Year")</f>
        <v>0</v>
      </c>
      <c r="R8" s="97">
        <f>GETPIVOTDATA("Sum of OLD-Tot UG SCH Calc",'Pivot Table for Fact Book'!$A$3,"State","FL","type",7,"Type2","Two-Year")</f>
        <v>8185552</v>
      </c>
      <c r="S8" s="98">
        <f>GETPIVOTDATA("Sum of NEW-Tot UG SCH Calc",'Pivot Table for Fact Book'!$A$3,"State","FL","type",7,"Type2","Two-Year")</f>
        <v>7888321</v>
      </c>
      <c r="T8" s="98">
        <f>GETPIVOTDATA("Sum of OLD-Tot UG SCH Calc",'Pivot Table for Fact Book'!$A$3,"State","FL","type",8,"Type2","Two-Year")</f>
        <v>846901</v>
      </c>
      <c r="U8" s="98">
        <f>GETPIVOTDATA("Sum of NEW-Tot UG SCH Calc",'Pivot Table for Fact Book'!$A$3,"State","FL","type",8,"Type2","Two-Year")</f>
        <v>819310</v>
      </c>
      <c r="V8" s="98">
        <f>GETPIVOTDATA("Sum of OLD-Tot UG SCH Calc",'Pivot Table for Fact Book'!$A$3,"State","FL","type",9,"Type2","Two-Year")</f>
        <v>0</v>
      </c>
      <c r="W8" s="98">
        <f>GETPIVOTDATA("Sum of NEW-Tot UG SCH Calc",'Pivot Table for Fact Book'!$A$3,"State","FL","type",9,"Type2","Two-Year")</f>
        <v>0</v>
      </c>
      <c r="X8" s="98">
        <f>GETPIVOTDATA("Sum of OLD-Tot UG SCH Calc",'Pivot Table for Fact Book'!$A$3,"State","FL","type",10,"Type2","Two-Year")</f>
        <v>41297</v>
      </c>
      <c r="Y8" s="98">
        <f>GETPIVOTDATA("Sum of NEW-Tot UG SCH Calc",'Pivot Table for Fact Book'!$A$3,"State","FL","type",10,"Type2","Two-Year")</f>
        <v>42742</v>
      </c>
      <c r="Z8" s="100">
        <f>GETPIVOTDATA("Sum of OLD-Tot UG SCH Calc",'Pivot Table for Fact Book'!$A$3,"State","FL","Type2","Two-Year")</f>
        <v>9073750</v>
      </c>
      <c r="AA8" s="100">
        <f>GETPIVOTDATA("Sum of NEW-Tot UG SCH Calc",'Pivot Table for Fact Book'!$A$3,"State","FL","Type2","Two-Year")</f>
        <v>8750373</v>
      </c>
      <c r="AB8" s="97">
        <f>+GETPIVOTDATA("Sum of OLD-Tot UG SCH Calc",'Pivot Table for Fact Book'!$A$3,"State","FL","type",12,"type2","Techncial")</f>
        <v>0</v>
      </c>
      <c r="AC8" s="98">
        <f>+GETPIVOTDATA("Sum of NEW-Tot UG SCH Calc",'Pivot Table for Fact Book'!$A$3,"State","FL","type",12,"type2","Techncial")</f>
        <v>0</v>
      </c>
      <c r="AD8" s="97">
        <f>+GETPIVOTDATA("Sum of OLD-Tot UG SCH Calc",'Pivot Table for Fact Book'!$A$3,"State","FL","type",13,"type2","Techncial")</f>
        <v>0</v>
      </c>
      <c r="AE8" s="98">
        <f>+GETPIVOTDATA("Sum of NEW-Tot UG SCH Calc",'Pivot Table for Fact Book'!$A$3,"State","FL","type",13,"type2","Techncial")</f>
        <v>0</v>
      </c>
      <c r="AF8" s="101">
        <f>+GETPIVOTDATA("Sum of OLD-Tot UG SCH Calc",'Pivot Table for Fact Book'!$A$3,"State","FL","type2","Techncial")</f>
        <v>0</v>
      </c>
      <c r="AG8" s="102">
        <f>+GETPIVOTDATA("Sum of NEW-Tot UG SCH Calc",'Pivot Table for Fact Book'!$A$3,"State","FL","type2","Techncial")</f>
        <v>0</v>
      </c>
    </row>
    <row r="9" spans="1:33">
      <c r="A9" s="110" t="s">
        <v>622</v>
      </c>
      <c r="B9" s="97">
        <f>GETPIVOTDATA("Sum of OLD-Tot UG SCH Calc",'Pivot Table for Fact Book'!$A$3,"State","GA","type",1,"Type2","Four-Year")</f>
        <v>2018446</v>
      </c>
      <c r="C9" s="98">
        <f>GETPIVOTDATA("Sum of NEW-Tot UG SCH Calc",'Pivot Table for Fact Book'!$A$3,"State","GA","type",1,"Type2","Four-Year")</f>
        <v>2036165.5</v>
      </c>
      <c r="D9" s="97">
        <f>GETPIVOTDATA("Sum of OLD-Tot UG SCH Calc",'Pivot Table for Fact Book'!$A$3,"State","GA","type",2,"Type2","Four-Year")</f>
        <v>456127.53</v>
      </c>
      <c r="E9" s="98">
        <f>GETPIVOTDATA("Sum of NEW-Tot UG SCH Calc",'Pivot Table for Fact Book'!$A$3,"State","GA","type",2,"Type2","Four-Year")</f>
        <v>481969.97</v>
      </c>
      <c r="F9" s="97">
        <f>GETPIVOTDATA("Sum of OLD-Tot UG SCH Calc",'Pivot Table for Fact Book'!$A$3,"State","GA","type",3,"Type2","Four-Year")</f>
        <v>2065777</v>
      </c>
      <c r="G9" s="98">
        <f>GETPIVOTDATA("Sum of NEW-Tot UG SCH Calc",'Pivot Table for Fact Book'!$A$3,"State","GA","type",3,"Type2","Four-Year")</f>
        <v>2138152</v>
      </c>
      <c r="H9" s="97">
        <f>GETPIVOTDATA("Sum of OLD-Tot UG SCH Calc",'Pivot Table for Fact Book'!$A$3,"State","GA","type",4,"Type2","Four-Year")</f>
        <v>1335860</v>
      </c>
      <c r="I9" s="98">
        <f>GETPIVOTDATA("Sum of NEW-Tot UG SCH Calc",'Pivot Table for Fact Book'!$A$3,"State","GA","type",4,"Type2","Four-Year")</f>
        <v>1339602</v>
      </c>
      <c r="J9" s="97">
        <f>GETPIVOTDATA("Sum of OLD-Tot UG SCH Calc",'Pivot Table for Fact Book'!$A$3,"State","GA","type",5,"Type2","Four-Year")</f>
        <v>357570</v>
      </c>
      <c r="K9" s="98">
        <f>GETPIVOTDATA("Sum of NEW-Tot UG SCH Calc",'Pivot Table for Fact Book'!$A$3,"State","GA","type",5,"Type2","Four-Year")</f>
        <v>358198</v>
      </c>
      <c r="L9" s="97">
        <f>GETPIVOTDATA("Sum of OLD-Tot UG SCH Calc",'Pivot Table for Fact Book'!$A$3,"State","GA","type",6,"Type2","Four-Year")</f>
        <v>694773</v>
      </c>
      <c r="M9" s="98">
        <f>GETPIVOTDATA("Sum of NEW-Tot UG SCH Calc",'Pivot Table for Fact Book'!$A$3,"State","GA","type",6,"Type2","Four-Year")</f>
        <v>671934</v>
      </c>
      <c r="N9" s="97">
        <f>GETPIVOTDATA("Sum of OLD-Tot UG SCH Calc",'Pivot Table for Fact Book'!$A$3,"State","GA","type",15,"Type2","Four-Year")</f>
        <v>0</v>
      </c>
      <c r="O9" s="98">
        <f>GETPIVOTDATA("Sum of NEW-Tot UG SCH Calc",'Pivot Table for Fact Book'!$A$3,"State","GA","type",15,"Type2","Four-Year")</f>
        <v>0</v>
      </c>
      <c r="P9" s="99">
        <f>GETPIVOTDATA("Sum of OLD-Tot UG SCH Calc",'Pivot Table for Fact Book'!$A$3,"State","GA","Type2","Four-Year")</f>
        <v>6928553.5300000003</v>
      </c>
      <c r="Q9" s="99">
        <f>GETPIVOTDATA("Sum of NEW-Tot UG SCH Calc",'Pivot Table for Fact Book'!$A$3,"State","GA","Type2","Four-Year")</f>
        <v>7026021.4699999997</v>
      </c>
      <c r="R9" s="97">
        <f>GETPIVOTDATA("Sum of OLD-Tot UG SCH Calc",'Pivot Table for Fact Book'!$A$3,"State","GA","type",7,"Type2","Two-Year")</f>
        <v>302780</v>
      </c>
      <c r="S9" s="98">
        <f>GETPIVOTDATA("Sum of NEW-Tot UG SCH Calc",'Pivot Table for Fact Book'!$A$3,"State","GA","type",7,"Type2","Two-Year")</f>
        <v>276933</v>
      </c>
      <c r="T9" s="98">
        <f>GETPIVOTDATA("Sum of OLD-Tot UG SCH Calc",'Pivot Table for Fact Book'!$A$3,"State","GA","type",8,"Type2","Two-Year")</f>
        <v>0</v>
      </c>
      <c r="U9" s="98">
        <f>GETPIVOTDATA("Sum of NEW-Tot UG SCH Calc",'Pivot Table for Fact Book'!$A$3,"State","GA","type",8,"Type2","Two-Year")</f>
        <v>0</v>
      </c>
      <c r="V9" s="98">
        <f>GETPIVOTDATA("Sum of OLD-Tot UG SCH Calc",'Pivot Table for Fact Book'!$A$3,"State","GA","type",9,"Type2","Two-Year")</f>
        <v>0</v>
      </c>
      <c r="W9" s="98">
        <f>GETPIVOTDATA("Sum of NEW-Tot UG SCH Calc",'Pivot Table for Fact Book'!$A$3,"State","GA","type",9,"Type2","Two-Year")</f>
        <v>0</v>
      </c>
      <c r="X9" s="98">
        <f>GETPIVOTDATA("Sum of OLD-Tot UG SCH Calc",'Pivot Table for Fact Book'!$A$3,"State","GA","type",10,"Type2","Two-Year")</f>
        <v>0</v>
      </c>
      <c r="Y9" s="98">
        <f>GETPIVOTDATA("Sum of NEW-Tot UG SCH Calc",'Pivot Table for Fact Book'!$A$3,"State","GA","type",10,"Type2","Two-Year")</f>
        <v>0</v>
      </c>
      <c r="Z9" s="100">
        <f>GETPIVOTDATA("Sum of OLD-Tot UG SCH Calc",'Pivot Table for Fact Book'!$A$3,"State","GA","Type2","Two-Year")</f>
        <v>302780</v>
      </c>
      <c r="AA9" s="100">
        <f>GETPIVOTDATA("Sum of NEW-Tot UG SCH Calc",'Pivot Table for Fact Book'!$A$3,"State","GA","Type2","Two-Year")</f>
        <v>276933</v>
      </c>
      <c r="AB9" s="97">
        <f>+GETPIVOTDATA("Sum of OLD-Tot UG SCH Calc",'Pivot Table for Fact Book'!$A$3,"State","GA","type",12,"type2","Techncial")</f>
        <v>2038837.4</v>
      </c>
      <c r="AC9" s="98">
        <f>+GETPIVOTDATA("Sum of NEW-Tot UG SCH Calc",'Pivot Table for Fact Book'!$A$3,"State","GA","type",12,"type2","Techncial")</f>
        <v>1956370.5</v>
      </c>
      <c r="AD9" s="97">
        <f>+GETPIVOTDATA("Sum of OLD-Tot UG SCH Calc",'Pivot Table for Fact Book'!$A$3,"State","GA","type",13,"type2","Techncial")</f>
        <v>0</v>
      </c>
      <c r="AE9" s="98">
        <f>+GETPIVOTDATA("Sum of NEW-Tot UG SCH Calc",'Pivot Table for Fact Book'!$A$3,"State","GA","type",13,"type2","Techncial")</f>
        <v>0</v>
      </c>
      <c r="AF9" s="101">
        <f>+GETPIVOTDATA("Sum of OLD-Tot UG SCH Calc",'Pivot Table for Fact Book'!$A$3,"State","GA","type2","Techncial")</f>
        <v>2038837.4</v>
      </c>
      <c r="AG9" s="102">
        <f>+GETPIVOTDATA("Sum of NEW-Tot UG SCH Calc",'Pivot Table for Fact Book'!$A$3,"State","GA","type2","Techncial")</f>
        <v>1956370.5</v>
      </c>
    </row>
    <row r="10" spans="1:33">
      <c r="A10" s="110" t="s">
        <v>623</v>
      </c>
      <c r="B10" s="97">
        <f>GETPIVOTDATA("Sum of OLD-Tot UG SCH Calc",'Pivot Table for Fact Book'!$A$3,"State","KY","type",1,"Type2","Four-Year")</f>
        <v>1047414</v>
      </c>
      <c r="C10" s="98">
        <f>GETPIVOTDATA("Sum of NEW-Tot UG SCH Calc",'Pivot Table for Fact Book'!$A$3,"State","KY","type",1,"Type2","Four-Year")</f>
        <v>996378</v>
      </c>
      <c r="D10" s="97">
        <f>GETPIVOTDATA("Sum of OLD-Tot UG SCH Calc",'Pivot Table for Fact Book'!$A$3,"State","KY","type",2,"Type2","Four-Year")</f>
        <v>0</v>
      </c>
      <c r="E10" s="98">
        <f>GETPIVOTDATA("Sum of NEW-Tot UG SCH Calc",'Pivot Table for Fact Book'!$A$3,"State","KY","type",2,"Type2","Four-Year")</f>
        <v>0</v>
      </c>
      <c r="F10" s="97">
        <f>GETPIVOTDATA("Sum of OLD-Tot UG SCH Calc",'Pivot Table for Fact Book'!$A$3,"State","KY","type",3,"Type2","Four-Year")</f>
        <v>1486308.5</v>
      </c>
      <c r="G10" s="98">
        <f>GETPIVOTDATA("Sum of NEW-Tot UG SCH Calc",'Pivot Table for Fact Book'!$A$3,"State","KY","type",3,"Type2","Four-Year")</f>
        <v>1428500</v>
      </c>
      <c r="H10" s="97">
        <f>GETPIVOTDATA("Sum of OLD-Tot UG SCH Calc",'Pivot Table for Fact Book'!$A$3,"State","KY","type",4,"Type2","Four-Year")</f>
        <v>44950.5</v>
      </c>
      <c r="I10" s="98">
        <f>GETPIVOTDATA("Sum of NEW-Tot UG SCH Calc",'Pivot Table for Fact Book'!$A$3,"State","KY","type",4,"Type2","Four-Year")</f>
        <v>51840</v>
      </c>
      <c r="J10" s="97">
        <f>GETPIVOTDATA("Sum of OLD-Tot UG SCH Calc",'Pivot Table for Fact Book'!$A$3,"State","KY","type",5,"Type2","Four-Year")</f>
        <v>0</v>
      </c>
      <c r="K10" s="98">
        <f>GETPIVOTDATA("Sum of NEW-Tot UG SCH Calc",'Pivot Table for Fact Book'!$A$3,"State","KY","type",5,"Type2","Four-Year")</f>
        <v>0</v>
      </c>
      <c r="L10" s="97">
        <f>GETPIVOTDATA("Sum of OLD-Tot UG SCH Calc",'Pivot Table for Fact Book'!$A$3,"State","KY","type",6,"Type2","Four-Year")</f>
        <v>0</v>
      </c>
      <c r="M10" s="98">
        <f>GETPIVOTDATA("Sum of NEW-Tot UG SCH Calc",'Pivot Table for Fact Book'!$A$3,"State","KY","type",6,"Type2","Four-Year")</f>
        <v>0</v>
      </c>
      <c r="N10" s="97">
        <f>GETPIVOTDATA("Sum of OLD-Tot UG SCH Calc",'Pivot Table for Fact Book'!$A$3,"State","KY","type",15,"Type2","Four-Year")</f>
        <v>0</v>
      </c>
      <c r="O10" s="98">
        <f>GETPIVOTDATA("Sum of NEW-Tot UG SCH Calc",'Pivot Table for Fact Book'!$A$3,"State","KY","type",15,"Type2","Four-Year")</f>
        <v>0</v>
      </c>
      <c r="P10" s="99">
        <f>GETPIVOTDATA("Sum of OLD-Tot UG SCH Calc",'Pivot Table for Fact Book'!$A$3,"State","KY","Type2","Four-Year")</f>
        <v>2578673</v>
      </c>
      <c r="Q10" s="99">
        <f>GETPIVOTDATA("Sum of NEW-Tot UG SCH Calc",'Pivot Table for Fact Book'!$A$3,"State","KY","Type2","Four-Year")</f>
        <v>2476718</v>
      </c>
      <c r="R10" s="97">
        <f>GETPIVOTDATA("Sum of OLD-Tot UG SCH Calc",'Pivot Table for Fact Book'!$A$3,"State","KY","type",7,"Type2","Two-Year")</f>
        <v>0</v>
      </c>
      <c r="S10" s="98">
        <f>GETPIVOTDATA("Sum of NEW-Tot UG SCH Calc",'Pivot Table for Fact Book'!$A$3,"State","KY","type",7,"Type2","Two-Year")</f>
        <v>0</v>
      </c>
      <c r="T10" s="98">
        <f>GETPIVOTDATA("Sum of OLD-Tot UG SCH Calc",'Pivot Table for Fact Book'!$A$3,"State","KY","type",8,"Type2","Two-Year")</f>
        <v>387530.02</v>
      </c>
      <c r="U10" s="98">
        <f>GETPIVOTDATA("Sum of NEW-Tot UG SCH Calc",'Pivot Table for Fact Book'!$A$3,"State","KY","type",8,"Type2","Two-Year")</f>
        <v>390784</v>
      </c>
      <c r="V10" s="98">
        <f>GETPIVOTDATA("Sum of OLD-Tot UG SCH Calc",'Pivot Table for Fact Book'!$A$3,"State","KY","type",9,"Type2","Two-Year")</f>
        <v>400623.07</v>
      </c>
      <c r="W10" s="98">
        <f>GETPIVOTDATA("Sum of NEW-Tot UG SCH Calc",'Pivot Table for Fact Book'!$A$3,"State","KY","type",9,"Type2","Two-Year")</f>
        <v>465860</v>
      </c>
      <c r="X10" s="98">
        <f>GETPIVOTDATA("Sum of OLD-Tot UG SCH Calc",'Pivot Table for Fact Book'!$A$3,"State","KY","type",10,"Type2","Two-Year")</f>
        <v>387129.47000000003</v>
      </c>
      <c r="Y10" s="98">
        <f>GETPIVOTDATA("Sum of NEW-Tot UG SCH Calc",'Pivot Table for Fact Book'!$A$3,"State","KY","type",10,"Type2","Two-Year")</f>
        <v>269678</v>
      </c>
      <c r="Z10" s="100">
        <f>GETPIVOTDATA("Sum of OLD-Tot UG SCH Calc",'Pivot Table for Fact Book'!$A$3,"State","KY","Type2","Two-Year")</f>
        <v>1175282.56</v>
      </c>
      <c r="AA10" s="100">
        <f>GETPIVOTDATA("Sum of NEW-Tot UG SCH Calc",'Pivot Table for Fact Book'!$A$3,"State","KY","Type2","Two-Year")</f>
        <v>1126322</v>
      </c>
      <c r="AB10" s="97">
        <f>+GETPIVOTDATA("Sum of OLD-Tot UG SCH Calc",'Pivot Table for Fact Book'!$A$3,"State","KY","type",12,"type2","Techncial")</f>
        <v>154521.29999999999</v>
      </c>
      <c r="AC10" s="98">
        <f>+GETPIVOTDATA("Sum of NEW-Tot UG SCH Calc",'Pivot Table for Fact Book'!$A$3,"State","KY","type",12,"type2","Techncial")</f>
        <v>151220</v>
      </c>
      <c r="AD10" s="97">
        <f>+GETPIVOTDATA("Sum of OLD-Tot UG SCH Calc",'Pivot Table for Fact Book'!$A$3,"State","KY","type",13,"type2","Techncial")</f>
        <v>0</v>
      </c>
      <c r="AE10" s="98">
        <f>+GETPIVOTDATA("Sum of NEW-Tot UG SCH Calc",'Pivot Table for Fact Book'!$A$3,"State","KY","type",13,"type2","Techncial")</f>
        <v>0</v>
      </c>
      <c r="AF10" s="101">
        <f>+GETPIVOTDATA("Sum of OLD-Tot UG SCH Calc",'Pivot Table for Fact Book'!$A$3,"State","KY","type2","Techncial")</f>
        <v>154521.29999999999</v>
      </c>
      <c r="AG10" s="102">
        <f>+GETPIVOTDATA("Sum of NEW-Tot UG SCH Calc",'Pivot Table for Fact Book'!$A$3,"State","KY","type2","Techncial")</f>
        <v>151220</v>
      </c>
    </row>
    <row r="11" spans="1:33">
      <c r="A11" s="110" t="s">
        <v>624</v>
      </c>
      <c r="B11" s="97">
        <f>GETPIVOTDATA("Sum of OLD-Tot UG SCH Calc",'Pivot Table for Fact Book'!$A$3,"State","LA","type",1,"Type2","Four-Year")</f>
        <v>701521.99999999988</v>
      </c>
      <c r="C11" s="98">
        <f>GETPIVOTDATA("Sum of NEW-Tot UG SCH Calc",'Pivot Table for Fact Book'!$A$3,"State","LA","type",1,"Type2","Four-Year")</f>
        <v>745363</v>
      </c>
      <c r="D11" s="97">
        <f>GETPIVOTDATA("Sum of OLD-Tot UG SCH Calc",'Pivot Table for Fact Book'!$A$3,"State","LA","type",2,"Type2","Four-Year")</f>
        <v>818877.99999999953</v>
      </c>
      <c r="E11" s="98">
        <f>GETPIVOTDATA("Sum of NEW-Tot UG SCH Calc",'Pivot Table for Fact Book'!$A$3,"State","LA","type",2,"Type2","Four-Year")</f>
        <v>795412</v>
      </c>
      <c r="F11" s="97">
        <f>GETPIVOTDATA("Sum of OLD-Tot UG SCH Calc",'Pivot Table for Fact Book'!$A$3,"State","LA","type",3,"Type2","Four-Year")</f>
        <v>848338.00000000023</v>
      </c>
      <c r="G11" s="98">
        <f>GETPIVOTDATA("Sum of NEW-Tot UG SCH Calc",'Pivot Table for Fact Book'!$A$3,"State","LA","type",3,"Type2","Four-Year")</f>
        <v>839447.9999999993</v>
      </c>
      <c r="H11" s="97">
        <f>GETPIVOTDATA("Sum of OLD-Tot UG SCH Calc",'Pivot Table for Fact Book'!$A$3,"State","LA","type",4,"Type2","Four-Year")</f>
        <v>579768.00000000047</v>
      </c>
      <c r="I11" s="98">
        <f>GETPIVOTDATA("Sum of NEW-Tot UG SCH Calc",'Pivot Table for Fact Book'!$A$3,"State","LA","type",4,"Type2","Four-Year")</f>
        <v>586975</v>
      </c>
      <c r="J11" s="97">
        <f>GETPIVOTDATA("Sum of OLD-Tot UG SCH Calc",'Pivot Table for Fact Book'!$A$3,"State","LA","type",5,"Type2","Four-Year")</f>
        <v>46277</v>
      </c>
      <c r="K11" s="98">
        <f>GETPIVOTDATA("Sum of NEW-Tot UG SCH Calc",'Pivot Table for Fact Book'!$A$3,"State","LA","type",5,"Type2","Four-Year")</f>
        <v>41596</v>
      </c>
      <c r="L11" s="97">
        <f>GETPIVOTDATA("Sum of OLD-Tot UG SCH Calc",'Pivot Table for Fact Book'!$A$3,"State","LA","type",6,"Type2","Four-Year")</f>
        <v>75010</v>
      </c>
      <c r="M11" s="98">
        <f>GETPIVOTDATA("Sum of NEW-Tot UG SCH Calc",'Pivot Table for Fact Book'!$A$3,"State","LA","type",6,"Type2","Four-Year")</f>
        <v>80535</v>
      </c>
      <c r="N11" s="97">
        <f>GETPIVOTDATA("Sum of OLD-Tot UG SCH Calc",'Pivot Table for Fact Book'!$A$3,"State","LA","type",15,"Type2","Four-Year")</f>
        <v>0</v>
      </c>
      <c r="O11" s="98">
        <f>GETPIVOTDATA("Sum of NEW-Tot UG SCH Calc",'Pivot Table for Fact Book'!$A$3,"State","LA","type",15,"Type2","Four-Year")</f>
        <v>0</v>
      </c>
      <c r="P11" s="99">
        <f>GETPIVOTDATA("Sum of OLD-Tot UG SCH Calc",'Pivot Table for Fact Book'!$A$3,"State","LA","Type2","Four-Year")</f>
        <v>3069793.0000000005</v>
      </c>
      <c r="Q11" s="99">
        <f>GETPIVOTDATA("Sum of NEW-Tot UG SCH Calc",'Pivot Table for Fact Book'!$A$3,"State","LA","Type2","Four-Year")</f>
        <v>3089328.9999999991</v>
      </c>
      <c r="R11" s="97">
        <f>GETPIVOTDATA("Sum of OLD-Tot UG SCH Calc",'Pivot Table for Fact Book'!$A$3,"State","LA","type",7,"Type2","Two-Year")</f>
        <v>0</v>
      </c>
      <c r="S11" s="98">
        <f>GETPIVOTDATA("Sum of NEW-Tot UG SCH Calc",'Pivot Table for Fact Book'!$A$3,"State","LA","type",7,"Type2","Two-Year")</f>
        <v>0</v>
      </c>
      <c r="T11" s="98">
        <f>GETPIVOTDATA("Sum of OLD-Tot UG SCH Calc",'Pivot Table for Fact Book'!$A$3,"State","LA","type",8,"Type2","Two-Year")</f>
        <v>440309.99999999988</v>
      </c>
      <c r="U11" s="98">
        <f>GETPIVOTDATA("Sum of NEW-Tot UG SCH Calc",'Pivot Table for Fact Book'!$A$3,"State","LA","type",8,"Type2","Two-Year")</f>
        <v>430515</v>
      </c>
      <c r="V11" s="98">
        <f>GETPIVOTDATA("Sum of OLD-Tot UG SCH Calc",'Pivot Table for Fact Book'!$A$3,"State","LA","type",9,"Type2","Two-Year")</f>
        <v>496928.5</v>
      </c>
      <c r="W11" s="98">
        <f>GETPIVOTDATA("Sum of NEW-Tot UG SCH Calc",'Pivot Table for Fact Book'!$A$3,"State","LA","type",9,"Type2","Two-Year")</f>
        <v>476165</v>
      </c>
      <c r="X11" s="98">
        <f>GETPIVOTDATA("Sum of OLD-Tot UG SCH Calc",'Pivot Table for Fact Book'!$A$3,"State","LA","type",10,"Type2","Two-Year")</f>
        <v>105360</v>
      </c>
      <c r="Y11" s="98">
        <f>GETPIVOTDATA("Sum of NEW-Tot UG SCH Calc",'Pivot Table for Fact Book'!$A$3,"State","LA","type",10,"Type2","Two-Year")</f>
        <v>103171</v>
      </c>
      <c r="Z11" s="100">
        <f>GETPIVOTDATA("Sum of OLD-Tot UG SCH Calc",'Pivot Table for Fact Book'!$A$3,"State","LA","Type2","Two-Year")</f>
        <v>1042598.4999999999</v>
      </c>
      <c r="AA11" s="100">
        <f>GETPIVOTDATA("Sum of NEW-Tot UG SCH Calc",'Pivot Table for Fact Book'!$A$3,"State","LA","Type2","Two-Year")</f>
        <v>1009851</v>
      </c>
      <c r="AB11" s="97">
        <f>+GETPIVOTDATA("Sum of OLD-Tot UG SCH Calc",'Pivot Table for Fact Book'!$A$3,"State","LA","type",12,"type2","Techncial")</f>
        <v>236716.50000000006</v>
      </c>
      <c r="AC11" s="98">
        <f>+GETPIVOTDATA("Sum of NEW-Tot UG SCH Calc",'Pivot Table for Fact Book'!$A$3,"State","LA","type",12,"type2","Techncial")</f>
        <v>222545</v>
      </c>
      <c r="AD11" s="97">
        <f>+GETPIVOTDATA("Sum of OLD-Tot UG SCH Calc",'Pivot Table for Fact Book'!$A$3,"State","LA","type",13,"type2","Techncial")</f>
        <v>24617.999999999996</v>
      </c>
      <c r="AE11" s="98">
        <f>+GETPIVOTDATA("Sum of NEW-Tot UG SCH Calc",'Pivot Table for Fact Book'!$A$3,"State","LA","type",13,"type2","Techncial")</f>
        <v>22823</v>
      </c>
      <c r="AF11" s="101">
        <f>+GETPIVOTDATA("Sum of OLD-Tot UG SCH Calc",'Pivot Table for Fact Book'!$A$3,"State","LA","type2","Techncial")</f>
        <v>261334.50000000006</v>
      </c>
      <c r="AG11" s="102">
        <f>+GETPIVOTDATA("Sum of NEW-Tot UG SCH Calc",'Pivot Table for Fact Book'!$A$3,"State","LA","type2","Techncial")</f>
        <v>245368</v>
      </c>
    </row>
    <row r="12" spans="1:33">
      <c r="A12" s="110" t="s">
        <v>625</v>
      </c>
      <c r="B12" s="97">
        <f>GETPIVOTDATA("Sum of OLD-Tot UG SCH Calc",'Pivot Table for Fact Book'!$A$3,"State","MD","type",1,"Type2","Four-Year")</f>
        <v>871990</v>
      </c>
      <c r="C12" s="98">
        <f>GETPIVOTDATA("Sum of NEW-Tot UG SCH Calc",'Pivot Table for Fact Book'!$A$3,"State","MD","type",1,"Type2","Four-Year")</f>
        <v>883046</v>
      </c>
      <c r="D12" s="97">
        <f>GETPIVOTDATA("Sum of OLD-Tot UG SCH Calc",'Pivot Table for Fact Book'!$A$3,"State","MD","type",2,"Type2","Four-Year")</f>
        <v>498799.5</v>
      </c>
      <c r="E12" s="98">
        <f>GETPIVOTDATA("Sum of NEW-Tot UG SCH Calc",'Pivot Table for Fact Book'!$A$3,"State","MD","type",2,"Type2","Four-Year")</f>
        <v>496313.5</v>
      </c>
      <c r="F12" s="97">
        <f>GETPIVOTDATA("Sum of OLD-Tot UG SCH Calc",'Pivot Table for Fact Book'!$A$3,"State","MD","type",3,"Type2","Four-Year")</f>
        <v>598556.5</v>
      </c>
      <c r="G12" s="98">
        <f>GETPIVOTDATA("Sum of NEW-Tot UG SCH Calc",'Pivot Table for Fact Book'!$A$3,"State","MD","type",3,"Type2","Four-Year")</f>
        <v>580495</v>
      </c>
      <c r="H12" s="97">
        <f>GETPIVOTDATA("Sum of OLD-Tot UG SCH Calc",'Pivot Table for Fact Book'!$A$3,"State","MD","type",4,"Type2","Four-Year")</f>
        <v>559879</v>
      </c>
      <c r="I12" s="98">
        <f>GETPIVOTDATA("Sum of NEW-Tot UG SCH Calc",'Pivot Table for Fact Book'!$A$3,"State","MD","type",4,"Type2","Four-Year")</f>
        <v>538877</v>
      </c>
      <c r="J12" s="97">
        <f>GETPIVOTDATA("Sum of OLD-Tot UG SCH Calc",'Pivot Table for Fact Book'!$A$3,"State","MD","type",5,"Type2","Four-Year")</f>
        <v>60266</v>
      </c>
      <c r="K12" s="98">
        <f>GETPIVOTDATA("Sum of NEW-Tot UG SCH Calc",'Pivot Table for Fact Book'!$A$3,"State","MD","type",5,"Type2","Four-Year")</f>
        <v>56181</v>
      </c>
      <c r="L12" s="97">
        <f>GETPIVOTDATA("Sum of OLD-Tot UG SCH Calc",'Pivot Table for Fact Book'!$A$3,"State","MD","type",6,"Type2","Four-Year")</f>
        <v>46862</v>
      </c>
      <c r="M12" s="98">
        <f>GETPIVOTDATA("Sum of NEW-Tot UG SCH Calc",'Pivot Table for Fact Book'!$A$3,"State","MD","type",6,"Type2","Four-Year")</f>
        <v>46411.5</v>
      </c>
      <c r="N12" s="97">
        <f>GETPIVOTDATA("Sum of OLD-Tot UG SCH Calc",'Pivot Table for Fact Book'!$A$3,"State","MD","type",15,"Type2","Four-Year")</f>
        <v>835132.5</v>
      </c>
      <c r="O12" s="98">
        <f>GETPIVOTDATA("Sum of NEW-Tot UG SCH Calc",'Pivot Table for Fact Book'!$A$3,"State","MD","type",15,"Type2","Four-Year")</f>
        <v>891054</v>
      </c>
      <c r="P12" s="99">
        <f>GETPIVOTDATA("Sum of OLD-Tot UG SCH Calc",'Pivot Table for Fact Book'!$A$3,"State","MD","Type2","Four-Year")</f>
        <v>3471485.5</v>
      </c>
      <c r="Q12" s="99">
        <f>GETPIVOTDATA("Sum of NEW-Tot UG SCH Calc",'Pivot Table for Fact Book'!$A$3,"State","MD","Type2","Four-Year")</f>
        <v>3492378</v>
      </c>
      <c r="R12" s="97">
        <f>GETPIVOTDATA("Sum of OLD-Tot UG SCH Calc",'Pivot Table for Fact Book'!$A$3,"State","MD","type",7,"Type2","Two-Year")</f>
        <v>0</v>
      </c>
      <c r="S12" s="98">
        <f>GETPIVOTDATA("Sum of NEW-Tot UG SCH Calc",'Pivot Table for Fact Book'!$A$3,"State","MD","type",7,"Type2","Two-Year")</f>
        <v>0</v>
      </c>
      <c r="T12" s="98">
        <f>GETPIVOTDATA("Sum of OLD-Tot UG SCH Calc",'Pivot Table for Fact Book'!$A$3,"State","MD","type",8,"Type2","Two-Year")</f>
        <v>1776033.41</v>
      </c>
      <c r="U12" s="98">
        <f>GETPIVOTDATA("Sum of NEW-Tot UG SCH Calc",'Pivot Table for Fact Book'!$A$3,"State","MD","type",8,"Type2","Two-Year")</f>
        <v>1757259.5</v>
      </c>
      <c r="V12" s="98">
        <f>GETPIVOTDATA("Sum of OLD-Tot UG SCH Calc",'Pivot Table for Fact Book'!$A$3,"State","MD","type",9,"Type2","Two-Year")</f>
        <v>546973.5</v>
      </c>
      <c r="W12" s="98">
        <f>GETPIVOTDATA("Sum of NEW-Tot UG SCH Calc",'Pivot Table for Fact Book'!$A$3,"State","MD","type",9,"Type2","Two-Year")</f>
        <v>544901.5</v>
      </c>
      <c r="X12" s="98">
        <f>GETPIVOTDATA("Sum of OLD-Tot UG SCH Calc",'Pivot Table for Fact Book'!$A$3,"State","MD","type",10,"Type2","Two-Year")</f>
        <v>187410.5</v>
      </c>
      <c r="Y12" s="98">
        <f>GETPIVOTDATA("Sum of NEW-Tot UG SCH Calc",'Pivot Table for Fact Book'!$A$3,"State","MD","type",10,"Type2","Two-Year")</f>
        <v>178819.25</v>
      </c>
      <c r="Z12" s="100">
        <f>GETPIVOTDATA("Sum of OLD-Tot UG SCH Calc",'Pivot Table for Fact Book'!$A$3,"State","MD","Type2","Two-Year")</f>
        <v>2510417.41</v>
      </c>
      <c r="AA12" s="100">
        <f>GETPIVOTDATA("Sum of NEW-Tot UG SCH Calc",'Pivot Table for Fact Book'!$A$3,"State","MD","Type2","Two-Year")</f>
        <v>2480980.25</v>
      </c>
      <c r="AB12" s="97">
        <f>+GETPIVOTDATA("Sum of OLD-Tot UG SCH Calc",'Pivot Table for Fact Book'!$A$3,"State","MD","type",12,"type2","Techncial")</f>
        <v>0</v>
      </c>
      <c r="AC12" s="98">
        <f>+GETPIVOTDATA("Sum of NEW-Tot UG SCH Calc",'Pivot Table for Fact Book'!$A$3,"State","MD","type",12,"type2","Techncial")</f>
        <v>0</v>
      </c>
      <c r="AD12" s="97">
        <f>+GETPIVOTDATA("Sum of OLD-Tot UG SCH Calc",'Pivot Table for Fact Book'!$A$3,"State","MD","type",13,"type2","Techncial")</f>
        <v>0</v>
      </c>
      <c r="AE12" s="98">
        <f>+GETPIVOTDATA("Sum of NEW-Tot UG SCH Calc",'Pivot Table for Fact Book'!$A$3,"State","MD","type",13,"type2","Techncial")</f>
        <v>0</v>
      </c>
      <c r="AF12" s="101">
        <f>+GETPIVOTDATA("Sum of OLD-Tot UG SCH Calc",'Pivot Table for Fact Book'!$A$3,"State","MD","type2","Techncial")</f>
        <v>0</v>
      </c>
      <c r="AG12" s="102">
        <f>+GETPIVOTDATA("Sum of NEW-Tot UG SCH Calc",'Pivot Table for Fact Book'!$A$3,"State","MD","type2","Techncial")</f>
        <v>0</v>
      </c>
    </row>
    <row r="13" spans="1:33">
      <c r="A13" s="110" t="s">
        <v>626</v>
      </c>
      <c r="B13" s="97">
        <f>GETPIVOTDATA("Sum of OLD-Tot UG SCH Calc",'Pivot Table for Fact Book'!$A$3,"State","MS","type",1,"Type2","Four-Year")</f>
        <v>1402900</v>
      </c>
      <c r="C13" s="98">
        <f>GETPIVOTDATA("Sum of NEW-Tot UG SCH Calc",'Pivot Table for Fact Book'!$A$3,"State","MS","type",1,"Type2","Four-Year")</f>
        <v>1381582</v>
      </c>
      <c r="D13" s="97">
        <f>GETPIVOTDATA("Sum of OLD-Tot UG SCH Calc",'Pivot Table for Fact Book'!$A$3,"State","MS","type",2,"Type2","Four-Year")</f>
        <v>142216</v>
      </c>
      <c r="E13" s="98">
        <f>GETPIVOTDATA("Sum of NEW-Tot UG SCH Calc",'Pivot Table for Fact Book'!$A$3,"State","MS","type",2,"Type2","Four-Year")</f>
        <v>132288.5</v>
      </c>
      <c r="F13" s="97">
        <f>GETPIVOTDATA("Sum of OLD-Tot UG SCH Calc",'Pivot Table for Fact Book'!$A$3,"State","MS","type",3,"Type2","Four-Year")</f>
        <v>0</v>
      </c>
      <c r="G13" s="98">
        <f>GETPIVOTDATA("Sum of NEW-Tot UG SCH Calc",'Pivot Table for Fact Book'!$A$3,"State","MS","type",3,"Type2","Four-Year")</f>
        <v>0</v>
      </c>
      <c r="H13" s="97">
        <f>GETPIVOTDATA("Sum of OLD-Tot UG SCH Calc",'Pivot Table for Fact Book'!$A$3,"State","MS","type",4,"Type2","Four-Year")</f>
        <v>284857.7</v>
      </c>
      <c r="I13" s="98">
        <f>GETPIVOTDATA("Sum of NEW-Tot UG SCH Calc",'Pivot Table for Fact Book'!$A$3,"State","MS","type",4,"Type2","Four-Year")</f>
        <v>263076</v>
      </c>
      <c r="J13" s="97">
        <f>GETPIVOTDATA("Sum of OLD-Tot UG SCH Calc",'Pivot Table for Fact Book'!$A$3,"State","MS","type",5,"Type2","Four-Year")</f>
        <v>0</v>
      </c>
      <c r="K13" s="98">
        <f>GETPIVOTDATA("Sum of NEW-Tot UG SCH Calc",'Pivot Table for Fact Book'!$A$3,"State","MS","type",5,"Type2","Four-Year")</f>
        <v>0</v>
      </c>
      <c r="L13" s="97">
        <f>GETPIVOTDATA("Sum of OLD-Tot UG SCH Calc",'Pivot Table for Fact Book'!$A$3,"State","MS","type",6,"Type2","Four-Year")</f>
        <v>0</v>
      </c>
      <c r="M13" s="98">
        <f>GETPIVOTDATA("Sum of NEW-Tot UG SCH Calc",'Pivot Table for Fact Book'!$A$3,"State","MS","type",6,"Type2","Four-Year")</f>
        <v>0</v>
      </c>
      <c r="N13" s="97">
        <f>GETPIVOTDATA("Sum of OLD-Tot UG SCH Calc",'Pivot Table for Fact Book'!$A$3,"State","MS","type",15,"Type2","Four-Year")</f>
        <v>0</v>
      </c>
      <c r="O13" s="98">
        <f>GETPIVOTDATA("Sum of NEW-Tot UG SCH Calc",'Pivot Table for Fact Book'!$A$3,"State","MS","type",15,"Type2","Four-Year")</f>
        <v>0</v>
      </c>
      <c r="P13" s="99">
        <f>GETPIVOTDATA("Sum of OLD-Tot UG SCH Calc",'Pivot Table for Fact Book'!$A$3,"State","MS","Type2","Four-Year")</f>
        <v>1829973.7</v>
      </c>
      <c r="Q13" s="99">
        <f>GETPIVOTDATA("Sum of NEW-Tot UG SCH Calc",'Pivot Table for Fact Book'!$A$3,"State","MS","Type2","Four-Year")</f>
        <v>1776946.5</v>
      </c>
      <c r="R13" s="97">
        <f>GETPIVOTDATA("Sum of OLD-Tot UG SCH Calc",'Pivot Table for Fact Book'!$A$3,"State","MS","type",7,"Type2","Two-Year")</f>
        <v>0</v>
      </c>
      <c r="S13" s="98">
        <f>GETPIVOTDATA("Sum of NEW-Tot UG SCH Calc",'Pivot Table for Fact Book'!$A$3,"State","MS","type",7,"Type2","Two-Year")</f>
        <v>0</v>
      </c>
      <c r="T13" s="98">
        <f>GETPIVOTDATA("Sum of OLD-Tot UG SCH Calc",'Pivot Table for Fact Book'!$A$3,"State","MS","type",8,"Type2","Two-Year")</f>
        <v>0</v>
      </c>
      <c r="U13" s="98">
        <f>GETPIVOTDATA("Sum of NEW-Tot UG SCH Calc",'Pivot Table for Fact Book'!$A$3,"State","MS","type",8,"Type2","Two-Year")</f>
        <v>0</v>
      </c>
      <c r="V13" s="98">
        <f>GETPIVOTDATA("Sum of OLD-Tot UG SCH Calc",'Pivot Table for Fact Book'!$A$3,"State","MS","type",9,"Type2","Two-Year")</f>
        <v>0</v>
      </c>
      <c r="W13" s="98">
        <f>GETPIVOTDATA("Sum of NEW-Tot UG SCH Calc",'Pivot Table for Fact Book'!$A$3,"State","MS","type",9,"Type2","Two-Year")</f>
        <v>0</v>
      </c>
      <c r="X13" s="98">
        <f>GETPIVOTDATA("Sum of OLD-Tot UG SCH Calc",'Pivot Table for Fact Book'!$A$3,"State","MS","type",10,"Type2","Two-Year")</f>
        <v>0</v>
      </c>
      <c r="Y13" s="98">
        <f>GETPIVOTDATA("Sum of NEW-Tot UG SCH Calc",'Pivot Table for Fact Book'!$A$3,"State","MS","type",10,"Type2","Two-Year")</f>
        <v>0</v>
      </c>
      <c r="Z13" s="100">
        <f>GETPIVOTDATA("Sum of OLD-Tot UG SCH Calc",'Pivot Table for Fact Book'!$A$3,"State","MS","Type2","Two-Year")</f>
        <v>0</v>
      </c>
      <c r="AA13" s="100">
        <f>GETPIVOTDATA("Sum of NEW-Tot UG SCH Calc",'Pivot Table for Fact Book'!$A$3,"State","MS","Type2","Two-Year")</f>
        <v>0</v>
      </c>
      <c r="AB13" s="97">
        <f>+GETPIVOTDATA("Sum of OLD-Tot UG SCH Calc",'Pivot Table for Fact Book'!$A$3,"State","MS","type",12,"type2","Techncial")</f>
        <v>0</v>
      </c>
      <c r="AC13" s="98">
        <f>+GETPIVOTDATA("Sum of NEW-Tot UG SCH Calc",'Pivot Table for Fact Book'!$A$3,"State","MS","type",12,"type2","Techncial")</f>
        <v>0</v>
      </c>
      <c r="AD13" s="97">
        <f>+GETPIVOTDATA("Sum of OLD-Tot UG SCH Calc",'Pivot Table for Fact Book'!$A$3,"State","MS","type",13,"type2","Techncial")</f>
        <v>0</v>
      </c>
      <c r="AE13" s="98">
        <f>+GETPIVOTDATA("Sum of NEW-Tot UG SCH Calc",'Pivot Table for Fact Book'!$A$3,"State","MS","type",13,"type2","Techncial")</f>
        <v>0</v>
      </c>
      <c r="AF13" s="101">
        <f>+GETPIVOTDATA("Sum of OLD-Tot UG SCH Calc",'Pivot Table for Fact Book'!$A$3,"State","MS","type2","Techncial")</f>
        <v>0</v>
      </c>
      <c r="AG13" s="102">
        <f>+GETPIVOTDATA("Sum of NEW-Tot UG SCH Calc",'Pivot Table for Fact Book'!$A$3,"State","MS","type2","Techncial")</f>
        <v>0</v>
      </c>
    </row>
    <row r="14" spans="1:33">
      <c r="A14" s="110" t="s">
        <v>627</v>
      </c>
      <c r="B14" s="97">
        <f>GETPIVOTDATA("Sum of OLD-Tot UG SCH Calc",'Pivot Table for Fact Book'!$A$3,"State","NC","type",1,"Type2","Four-Year")</f>
        <v>2418197</v>
      </c>
      <c r="C14" s="98">
        <f>GETPIVOTDATA("Sum of NEW-Tot UG SCH Calc",'Pivot Table for Fact Book'!$A$3,"State","NC","type",1,"Type2","Four-Year")</f>
        <v>2454605</v>
      </c>
      <c r="D14" s="97">
        <f>GETPIVOTDATA("Sum of OLD-Tot UG SCH Calc",'Pivot Table for Fact Book'!$A$3,"State","NC","type",2,"Type2","Four-Year")</f>
        <v>641242</v>
      </c>
      <c r="E14" s="98">
        <f>GETPIVOTDATA("Sum of NEW-Tot UG SCH Calc",'Pivot Table for Fact Book'!$A$3,"State","NC","type",2,"Type2","Four-Year")</f>
        <v>633192</v>
      </c>
      <c r="F14" s="97">
        <f>GETPIVOTDATA("Sum of OLD-Tot UG SCH Calc",'Pivot Table for Fact Book'!$A$3,"State","NC","type",3,"Type2","Four-Year")</f>
        <v>1715562.5</v>
      </c>
      <c r="G14" s="98">
        <f>GETPIVOTDATA("Sum of NEW-Tot UG SCH Calc",'Pivot Table for Fact Book'!$A$3,"State","NC","type",3,"Type2","Four-Year")</f>
        <v>1733548</v>
      </c>
      <c r="H14" s="97">
        <f>GETPIVOTDATA("Sum of OLD-Tot UG SCH Calc",'Pivot Table for Fact Book'!$A$3,"State","NC","type",4,"Type2","Four-Year")</f>
        <v>150115</v>
      </c>
      <c r="I14" s="98">
        <f>GETPIVOTDATA("Sum of NEW-Tot UG SCH Calc",'Pivot Table for Fact Book'!$A$3,"State","NC","type",4,"Type2","Four-Year")</f>
        <v>150073</v>
      </c>
      <c r="J14" s="97">
        <f>GETPIVOTDATA("Sum of OLD-Tot UG SCH Calc",'Pivot Table for Fact Book'!$A$3,"State","NC","type",5,"Type2","Four-Year")</f>
        <v>302850</v>
      </c>
      <c r="K14" s="98">
        <f>GETPIVOTDATA("Sum of NEW-Tot UG SCH Calc",'Pivot Table for Fact Book'!$A$3,"State","NC","type",5,"Type2","Four-Year")</f>
        <v>307836</v>
      </c>
      <c r="L14" s="97">
        <f>GETPIVOTDATA("Sum of OLD-Tot UG SCH Calc",'Pivot Table for Fact Book'!$A$3,"State","NC","type",6,"Type2","Four-Year")</f>
        <v>145335</v>
      </c>
      <c r="M14" s="98">
        <f>GETPIVOTDATA("Sum of NEW-Tot UG SCH Calc",'Pivot Table for Fact Book'!$A$3,"State","NC","type",6,"Type2","Four-Year")</f>
        <v>146810</v>
      </c>
      <c r="N14" s="97">
        <f>GETPIVOTDATA("Sum of OLD-Tot UG SCH Calc",'Pivot Table for Fact Book'!$A$3,"State","NC","type",15,"Type2","Four-Year")</f>
        <v>27437</v>
      </c>
      <c r="O14" s="98">
        <f>GETPIVOTDATA("Sum of NEW-Tot UG SCH Calc",'Pivot Table for Fact Book'!$A$3,"State","NC","type",15,"Type2","Four-Year")</f>
        <v>26718</v>
      </c>
      <c r="P14" s="99">
        <f>GETPIVOTDATA("Sum of OLD-Tot UG SCH Calc",'Pivot Table for Fact Book'!$A$3,"State","NC","Type2","Four-Year")</f>
        <v>5400738.5</v>
      </c>
      <c r="Q14" s="99">
        <f>GETPIVOTDATA("Sum of NEW-Tot UG SCH Calc",'Pivot Table for Fact Book'!$A$3,"State","NC","Type2","Four-Year")</f>
        <v>5452782</v>
      </c>
      <c r="R14" s="97">
        <f>GETPIVOTDATA("Sum of OLD-Tot UG SCH Calc",'Pivot Table for Fact Book'!$A$3,"State","NC","type",7,"Type2","Two-Year")</f>
        <v>0</v>
      </c>
      <c r="S14" s="98">
        <f>GETPIVOTDATA("Sum of NEW-Tot UG SCH Calc",'Pivot Table for Fact Book'!$A$3,"State","NC","type",7,"Type2","Two-Year")</f>
        <v>0</v>
      </c>
      <c r="T14" s="98">
        <f>GETPIVOTDATA("Sum of OLD-Tot UG SCH Calc",'Pivot Table for Fact Book'!$A$3,"State","NC","type",8,"Type2","Two-Year")</f>
        <v>2101449.5</v>
      </c>
      <c r="U14" s="98">
        <f>GETPIVOTDATA("Sum of NEW-Tot UG SCH Calc",'Pivot Table for Fact Book'!$A$3,"State","NC","type",8,"Type2","Two-Year")</f>
        <v>2090621.5</v>
      </c>
      <c r="V14" s="98">
        <f>GETPIVOTDATA("Sum of OLD-Tot UG SCH Calc",'Pivot Table for Fact Book'!$A$3,"State","NC","type",9,"Type2","Two-Year")</f>
        <v>1632549</v>
      </c>
      <c r="W14" s="98">
        <f>GETPIVOTDATA("Sum of NEW-Tot UG SCH Calc",'Pivot Table for Fact Book'!$A$3,"State","NC","type",9,"Type2","Two-Year")</f>
        <v>1639000.8</v>
      </c>
      <c r="X14" s="98">
        <f>GETPIVOTDATA("Sum of OLD-Tot UG SCH Calc",'Pivot Table for Fact Book'!$A$3,"State","NC","type",10,"Type2","Two-Year")</f>
        <v>789023.5</v>
      </c>
      <c r="Y14" s="98">
        <f>GETPIVOTDATA("Sum of NEW-Tot UG SCH Calc",'Pivot Table for Fact Book'!$A$3,"State","NC","type",10,"Type2","Two-Year")</f>
        <v>782854.5</v>
      </c>
      <c r="Z14" s="100">
        <f>GETPIVOTDATA("Sum of OLD-Tot UG SCH Calc",'Pivot Table for Fact Book'!$A$3,"State","NC","Type2","Two-Year")</f>
        <v>4523022</v>
      </c>
      <c r="AA14" s="100">
        <f>GETPIVOTDATA("Sum of NEW-Tot UG SCH Calc",'Pivot Table for Fact Book'!$A$3,"State","NC","Type2","Two-Year")</f>
        <v>4512476.8</v>
      </c>
      <c r="AB14" s="97">
        <f>+GETPIVOTDATA("Sum of OLD-Tot UG SCH Calc",'Pivot Table for Fact Book'!$A$3,"State","NC","type",12,"type2","Techncial")</f>
        <v>0</v>
      </c>
      <c r="AC14" s="98">
        <f>+GETPIVOTDATA("Sum of NEW-Tot UG SCH Calc",'Pivot Table for Fact Book'!$A$3,"State","NC","type",12,"type2","Techncial")</f>
        <v>0</v>
      </c>
      <c r="AD14" s="97">
        <f>+GETPIVOTDATA("Sum of OLD-Tot UG SCH Calc",'Pivot Table for Fact Book'!$A$3,"State","NC","type",13,"type2","Techncial")</f>
        <v>0</v>
      </c>
      <c r="AE14" s="98">
        <f>+GETPIVOTDATA("Sum of NEW-Tot UG SCH Calc",'Pivot Table for Fact Book'!$A$3,"State","NC","type",13,"type2","Techncial")</f>
        <v>0</v>
      </c>
      <c r="AF14" s="101">
        <f>+GETPIVOTDATA("Sum of OLD-Tot UG SCH Calc",'Pivot Table for Fact Book'!$A$3,"State","NC","type2","Techncial")</f>
        <v>0</v>
      </c>
      <c r="AG14" s="102">
        <f>+GETPIVOTDATA("Sum of NEW-Tot UG SCH Calc",'Pivot Table for Fact Book'!$A$3,"State","NC","type2","Techncial")</f>
        <v>0</v>
      </c>
    </row>
    <row r="15" spans="1:33">
      <c r="A15" s="110" t="s">
        <v>628</v>
      </c>
      <c r="B15" s="97">
        <f>GETPIVOTDATA("Sum of OLD-Tot UG SCH Calc",'Pivot Table for Fact Book'!$A$3,"State","OK","type",1,"Type2","Four-Year")</f>
        <v>0</v>
      </c>
      <c r="C15" s="98">
        <f>GETPIVOTDATA("Sum of NEW-Tot UG SCH Calc",'Pivot Table for Fact Book'!$A$3,"State","OK","type",1,"Type2","Four-Year")</f>
        <v>0</v>
      </c>
      <c r="D15" s="97">
        <f>GETPIVOTDATA("Sum of OLD-Tot UG SCH Calc",'Pivot Table for Fact Book'!$A$3,"State","OK","type",2,"Type2","Four-Year")</f>
        <v>0</v>
      </c>
      <c r="E15" s="98">
        <f>GETPIVOTDATA("Sum of NEW-Tot UG SCH Calc",'Pivot Table for Fact Book'!$A$3,"State","OK","type",2,"Type2","Four-Year")</f>
        <v>0</v>
      </c>
      <c r="F15" s="97">
        <f>GETPIVOTDATA("Sum of OLD-Tot UG SCH Calc",'Pivot Table for Fact Book'!$A$3,"State","OK","type",3,"Type2","Four-Year")</f>
        <v>0</v>
      </c>
      <c r="G15" s="98">
        <f>GETPIVOTDATA("Sum of NEW-Tot UG SCH Calc",'Pivot Table for Fact Book'!$A$3,"State","OK","type",3,"Type2","Four-Year")</f>
        <v>0</v>
      </c>
      <c r="H15" s="97">
        <f>GETPIVOTDATA("Sum of OLD-Tot UG SCH Calc",'Pivot Table for Fact Book'!$A$3,"State","OK","type",4,"Type2","Four-Year")</f>
        <v>0</v>
      </c>
      <c r="I15" s="98">
        <f>GETPIVOTDATA("Sum of NEW-Tot UG SCH Calc",'Pivot Table for Fact Book'!$A$3,"State","OK","type",4,"Type2","Four-Year")</f>
        <v>0</v>
      </c>
      <c r="J15" s="97">
        <f>GETPIVOTDATA("Sum of OLD-Tot UG SCH Calc",'Pivot Table for Fact Book'!$A$3,"State","OK","type",5,"Type2","Four-Year")</f>
        <v>0</v>
      </c>
      <c r="K15" s="98">
        <f>GETPIVOTDATA("Sum of NEW-Tot UG SCH Calc",'Pivot Table for Fact Book'!$A$3,"State","OK","type",5,"Type2","Four-Year")</f>
        <v>0</v>
      </c>
      <c r="L15" s="97">
        <f>GETPIVOTDATA("Sum of OLD-Tot UG SCH Calc",'Pivot Table for Fact Book'!$A$3,"State","OK","type",6,"Type2","Four-Year")</f>
        <v>0</v>
      </c>
      <c r="M15" s="98">
        <f>GETPIVOTDATA("Sum of NEW-Tot UG SCH Calc",'Pivot Table for Fact Book'!$A$3,"State","OK","type",6,"Type2","Four-Year")</f>
        <v>0</v>
      </c>
      <c r="N15" s="97">
        <f>GETPIVOTDATA("Sum of OLD-Tot UG SCH Calc",'Pivot Table for Fact Book'!$A$3,"State","OK","type",15,"Type2","Four-Year")</f>
        <v>0</v>
      </c>
      <c r="O15" s="98">
        <f>GETPIVOTDATA("Sum of NEW-Tot UG SCH Calc",'Pivot Table for Fact Book'!$A$3,"State","OK","type",15,"Type2","Four-Year")</f>
        <v>0</v>
      </c>
      <c r="P15" s="99">
        <f>GETPIVOTDATA("Sum of OLD-Tot UG SCH Calc",'Pivot Table for Fact Book'!$A$3,"State","OK","Type2","Four-Year")</f>
        <v>0</v>
      </c>
      <c r="Q15" s="99">
        <f>GETPIVOTDATA("Sum of NEW-Tot UG SCH Calc",'Pivot Table for Fact Book'!$A$3,"State","OK","Type2","Four-Year")</f>
        <v>0</v>
      </c>
      <c r="R15" s="97">
        <f>GETPIVOTDATA("Sum of OLD-Tot UG SCH Calc",'Pivot Table for Fact Book'!$A$3,"State","OK","type",7,"Type2","Two-Year")</f>
        <v>0</v>
      </c>
      <c r="S15" s="98">
        <f>GETPIVOTDATA("Sum of NEW-Tot UG SCH Calc",'Pivot Table for Fact Book'!$A$3,"State","OK","type",7,"Type2","Two-Year")</f>
        <v>0</v>
      </c>
      <c r="T15" s="98">
        <f>GETPIVOTDATA("Sum of OLD-Tot UG SCH Calc",'Pivot Table for Fact Book'!$A$3,"State","OK","type",8,"Type2","Two-Year")</f>
        <v>0</v>
      </c>
      <c r="U15" s="98">
        <f>GETPIVOTDATA("Sum of NEW-Tot UG SCH Calc",'Pivot Table for Fact Book'!$A$3,"State","OK","type",8,"Type2","Two-Year")</f>
        <v>0</v>
      </c>
      <c r="V15" s="98">
        <f>GETPIVOTDATA("Sum of OLD-Tot UG SCH Calc",'Pivot Table for Fact Book'!$A$3,"State","OK","type",9,"Type2","Two-Year")</f>
        <v>0</v>
      </c>
      <c r="W15" s="98">
        <f>GETPIVOTDATA("Sum of NEW-Tot UG SCH Calc",'Pivot Table for Fact Book'!$A$3,"State","OK","type",9,"Type2","Two-Year")</f>
        <v>0</v>
      </c>
      <c r="X15" s="98">
        <f>GETPIVOTDATA("Sum of OLD-Tot UG SCH Calc",'Pivot Table for Fact Book'!$A$3,"State","OK","type",10,"Type2","Two-Year")</f>
        <v>0</v>
      </c>
      <c r="Y15" s="98">
        <f>GETPIVOTDATA("Sum of NEW-Tot UG SCH Calc",'Pivot Table for Fact Book'!$A$3,"State","OK","type",10,"Type2","Two-Year")</f>
        <v>0</v>
      </c>
      <c r="Z15" s="100">
        <f>GETPIVOTDATA("Sum of OLD-Tot UG SCH Calc",'Pivot Table for Fact Book'!$A$3,"State","OK","Type2","Two-Year")</f>
        <v>0</v>
      </c>
      <c r="AA15" s="100">
        <f>GETPIVOTDATA("Sum of NEW-Tot UG SCH Calc",'Pivot Table for Fact Book'!$A$3,"State","OK","Type2","Two-Year")</f>
        <v>0</v>
      </c>
      <c r="AB15" s="97">
        <f>+GETPIVOTDATA("Sum of OLD-Tot UG SCH Calc",'Pivot Table for Fact Book'!$A$3,"State","OK","type",12,"type2","Techncial")</f>
        <v>0</v>
      </c>
      <c r="AC15" s="98">
        <f>+GETPIVOTDATA("Sum of NEW-Tot UG SCH Calc",'Pivot Table for Fact Book'!$A$3,"State","OK","type",12,"type2","Techncial")</f>
        <v>0</v>
      </c>
      <c r="AD15" s="97">
        <f>+GETPIVOTDATA("Sum of OLD-Tot UG SCH Calc",'Pivot Table for Fact Book'!$A$3,"State","OK","type",13,"type2","Techncial")</f>
        <v>0</v>
      </c>
      <c r="AE15" s="98">
        <f>+GETPIVOTDATA("Sum of NEW-Tot UG SCH Calc",'Pivot Table for Fact Book'!$A$3,"State","OK","type",13,"type2","Techncial")</f>
        <v>0</v>
      </c>
      <c r="AF15" s="101">
        <f>+GETPIVOTDATA("Sum of OLD-Tot UG SCH Calc",'Pivot Table for Fact Book'!$A$3,"State","OK","type2","Techncial")</f>
        <v>0</v>
      </c>
      <c r="AG15" s="102">
        <f>+GETPIVOTDATA("Sum of NEW-Tot UG SCH Calc",'Pivot Table for Fact Book'!$A$3,"State","OK","type2","Techncial")</f>
        <v>0</v>
      </c>
    </row>
    <row r="16" spans="1:33">
      <c r="A16" s="110" t="s">
        <v>629</v>
      </c>
      <c r="B16" s="97">
        <f>GETPIVOTDATA("Sum of OLD-Tot UG SCH Calc",'Pivot Table for Fact Book'!$A$3,"State","SC","type",1,"Type2","Four-Year")</f>
        <v>1436699</v>
      </c>
      <c r="C16" s="98">
        <f>GETPIVOTDATA("Sum of NEW-Tot UG SCH Calc",'Pivot Table for Fact Book'!$A$3,"State","SC","type",1,"Type2","Four-Year")</f>
        <v>1481661</v>
      </c>
      <c r="D16" s="97">
        <f>GETPIVOTDATA("Sum of OLD-Tot UG SCH Calc",'Pivot Table for Fact Book'!$A$3,"State","SC","type",2,"Type2","Four-Year")</f>
        <v>0</v>
      </c>
      <c r="E16" s="98">
        <f>GETPIVOTDATA("Sum of NEW-Tot UG SCH Calc",'Pivot Table for Fact Book'!$A$3,"State","SC","type",2,"Type2","Four-Year")</f>
        <v>0</v>
      </c>
      <c r="F16" s="97">
        <f>GETPIVOTDATA("Sum of OLD-Tot UG SCH Calc",'Pivot Table for Fact Book'!$A$3,"State","SC","type",3,"Type2","Four-Year")</f>
        <v>525835</v>
      </c>
      <c r="G16" s="98">
        <f>GETPIVOTDATA("Sum of NEW-Tot UG SCH Calc",'Pivot Table for Fact Book'!$A$3,"State","SC","type",3,"Type2","Four-Year")</f>
        <v>513324</v>
      </c>
      <c r="H16" s="97">
        <f>GETPIVOTDATA("Sum of OLD-Tot UG SCH Calc",'Pivot Table for Fact Book'!$A$3,"State","SC","type",4,"Type2","Four-Year")</f>
        <v>290884</v>
      </c>
      <c r="I16" s="98">
        <f>GETPIVOTDATA("Sum of NEW-Tot UG SCH Calc",'Pivot Table for Fact Book'!$A$3,"State","SC","type",4,"Type2","Four-Year")</f>
        <v>283480</v>
      </c>
      <c r="J16" s="97">
        <f>GETPIVOTDATA("Sum of OLD-Tot UG SCH Calc",'Pivot Table for Fact Book'!$A$3,"State","SC","type",5,"Type2","Four-Year")</f>
        <v>151901</v>
      </c>
      <c r="K16" s="98">
        <f>GETPIVOTDATA("Sum of NEW-Tot UG SCH Calc",'Pivot Table for Fact Book'!$A$3,"State","SC","type",5,"Type2","Four-Year")</f>
        <v>149584</v>
      </c>
      <c r="L16" s="97">
        <f>GETPIVOTDATA("Sum of OLD-Tot UG SCH Calc",'Pivot Table for Fact Book'!$A$3,"State","SC","type",6,"Type2","Four-Year")</f>
        <v>389769.5</v>
      </c>
      <c r="M16" s="98">
        <f>GETPIVOTDATA("Sum of NEW-Tot UG SCH Calc",'Pivot Table for Fact Book'!$A$3,"State","SC","type",6,"Type2","Four-Year")</f>
        <v>385143</v>
      </c>
      <c r="N16" s="97">
        <f>GETPIVOTDATA("Sum of OLD-Tot UG SCH Calc",'Pivot Table for Fact Book'!$A$3,"State","SC","type",15,"Type2","Four-Year")</f>
        <v>0</v>
      </c>
      <c r="O16" s="98">
        <f>GETPIVOTDATA("Sum of NEW-Tot UG SCH Calc",'Pivot Table for Fact Book'!$A$3,"State","SC","type",15,"Type2","Four-Year")</f>
        <v>0</v>
      </c>
      <c r="P16" s="99">
        <f>GETPIVOTDATA("Sum of OLD-Tot UG SCH Calc",'Pivot Table for Fact Book'!$A$3,"State","SC","Type2","Four-Year")</f>
        <v>2795088.5</v>
      </c>
      <c r="Q16" s="99">
        <f>GETPIVOTDATA("Sum of NEW-Tot UG SCH Calc",'Pivot Table for Fact Book'!$A$3,"State","SC","Type2","Four-Year")</f>
        <v>2813192</v>
      </c>
      <c r="R16" s="97">
        <f>GETPIVOTDATA("Sum of OLD-Tot UG SCH Calc",'Pivot Table for Fact Book'!$A$3,"State","SC","type",7,"Type2","Two-Year")</f>
        <v>0</v>
      </c>
      <c r="S16" s="98">
        <f>GETPIVOTDATA("Sum of NEW-Tot UG SCH Calc",'Pivot Table for Fact Book'!$A$3,"State","SC","type",7,"Type2","Two-Year")</f>
        <v>0</v>
      </c>
      <c r="T16" s="98">
        <f>GETPIVOTDATA("Sum of OLD-Tot UG SCH Calc",'Pivot Table for Fact Book'!$A$3,"State","SC","type",8,"Type2","Two-Year")</f>
        <v>837358</v>
      </c>
      <c r="U16" s="98">
        <f>GETPIVOTDATA("Sum of NEW-Tot UG SCH Calc",'Pivot Table for Fact Book'!$A$3,"State","SC","type",8,"Type2","Two-Year")</f>
        <v>816309</v>
      </c>
      <c r="V16" s="98">
        <f>GETPIVOTDATA("Sum of OLD-Tot UG SCH Calc",'Pivot Table for Fact Book'!$A$3,"State","SC","type",9,"Type2","Two-Year")</f>
        <v>597754</v>
      </c>
      <c r="W16" s="98">
        <f>GETPIVOTDATA("Sum of NEW-Tot UG SCH Calc",'Pivot Table for Fact Book'!$A$3,"State","SC","type",9,"Type2","Two-Year")</f>
        <v>573968</v>
      </c>
      <c r="X16" s="98">
        <f>GETPIVOTDATA("Sum of OLD-Tot UG SCH Calc",'Pivot Table for Fact Book'!$A$3,"State","SC","type",10,"Type2","Two-Year")</f>
        <v>293687</v>
      </c>
      <c r="Y16" s="98">
        <f>GETPIVOTDATA("Sum of NEW-Tot UG SCH Calc",'Pivot Table for Fact Book'!$A$3,"State","SC","type",10,"Type2","Two-Year")</f>
        <v>288830</v>
      </c>
      <c r="Z16" s="100">
        <f>GETPIVOTDATA("Sum of OLD-Tot UG SCH Calc",'Pivot Table for Fact Book'!$A$3,"State","SC","Type2","Two-Year")</f>
        <v>1728799</v>
      </c>
      <c r="AA16" s="100">
        <f>GETPIVOTDATA("Sum of NEW-Tot UG SCH Calc",'Pivot Table for Fact Book'!$A$3,"State","SC","Type2","Two-Year")</f>
        <v>1679107</v>
      </c>
      <c r="AB16" s="97">
        <f>+GETPIVOTDATA("Sum of OLD-Tot UG SCH Calc",'Pivot Table for Fact Book'!$A$3,"State","SC","type",12,"type2","Techncial")</f>
        <v>0</v>
      </c>
      <c r="AC16" s="98">
        <f>+GETPIVOTDATA("Sum of NEW-Tot UG SCH Calc",'Pivot Table for Fact Book'!$A$3,"State","SC","type",12,"type2","Techncial")</f>
        <v>0</v>
      </c>
      <c r="AD16" s="97">
        <f>+GETPIVOTDATA("Sum of OLD-Tot UG SCH Calc",'Pivot Table for Fact Book'!$A$3,"State","SC","type",13,"type2","Techncial")</f>
        <v>0</v>
      </c>
      <c r="AE16" s="98">
        <f>+GETPIVOTDATA("Sum of NEW-Tot UG SCH Calc",'Pivot Table for Fact Book'!$A$3,"State","SC","type",13,"type2","Techncial")</f>
        <v>0</v>
      </c>
      <c r="AF16" s="101">
        <f>+GETPIVOTDATA("Sum of OLD-Tot UG SCH Calc",'Pivot Table for Fact Book'!$A$3,"State","SC","type2","Techncial")</f>
        <v>0</v>
      </c>
      <c r="AG16" s="102">
        <f>+GETPIVOTDATA("Sum of NEW-Tot UG SCH Calc",'Pivot Table for Fact Book'!$A$3,"State","SC","type2","Techncial")</f>
        <v>0</v>
      </c>
    </row>
    <row r="17" spans="1:33">
      <c r="A17" s="110" t="s">
        <v>630</v>
      </c>
      <c r="B17" s="97">
        <f>GETPIVOTDATA("Sum of OLD-Tot UG SCH Calc",'Pivot Table for Fact Book'!$A$3,"State","TN","type",1,"Type2","Four-Year")</f>
        <v>1049594</v>
      </c>
      <c r="C17" s="98">
        <f>GETPIVOTDATA("Sum of NEW-Tot UG SCH Calc",'Pivot Table for Fact Book'!$A$3,"State","TN","type",1,"Type2","Four-Year")</f>
        <v>1087106</v>
      </c>
      <c r="D17" s="97">
        <f>GETPIVOTDATA("Sum of OLD-Tot UG SCH Calc",'Pivot Table for Fact Book'!$A$3,"State","TN","type",2,"Type2","Four-Year")</f>
        <v>954899</v>
      </c>
      <c r="E17" s="98">
        <f>GETPIVOTDATA("Sum of NEW-Tot UG SCH Calc",'Pivot Table for Fact Book'!$A$3,"State","TN","type",2,"Type2","Four-Year")</f>
        <v>889125</v>
      </c>
      <c r="F17" s="97">
        <f>GETPIVOTDATA("Sum of OLD-Tot UG SCH Calc",'Pivot Table for Fact Book'!$A$3,"State","TN","type",3,"Type2","Four-Year")</f>
        <v>773036</v>
      </c>
      <c r="G17" s="98">
        <f>GETPIVOTDATA("Sum of NEW-Tot UG SCH Calc",'Pivot Table for Fact Book'!$A$3,"State","TN","type",3,"Type2","Four-Year")</f>
        <v>753290</v>
      </c>
      <c r="H17" s="97">
        <f>GETPIVOTDATA("Sum of OLD-Tot UG SCH Calc",'Pivot Table for Fact Book'!$A$3,"State","TN","type",4,"Type2","Four-Year")</f>
        <v>161305</v>
      </c>
      <c r="I17" s="98">
        <f>GETPIVOTDATA("Sum of NEW-Tot UG SCH Calc",'Pivot Table for Fact Book'!$A$3,"State","TN","type",4,"Type2","Four-Year")</f>
        <v>159845</v>
      </c>
      <c r="J17" s="97">
        <f>GETPIVOTDATA("Sum of OLD-Tot UG SCH Calc",'Pivot Table for Fact Book'!$A$3,"State","TN","type",5,"Type2","Four-Year")</f>
        <v>0</v>
      </c>
      <c r="K17" s="98">
        <f>GETPIVOTDATA("Sum of NEW-Tot UG SCH Calc",'Pivot Table for Fact Book'!$A$3,"State","TN","type",5,"Type2","Four-Year")</f>
        <v>0</v>
      </c>
      <c r="L17" s="97">
        <f>GETPIVOTDATA("Sum of OLD-Tot UG SCH Calc",'Pivot Table for Fact Book'!$A$3,"State","TN","type",6,"Type2","Four-Year")</f>
        <v>0</v>
      </c>
      <c r="M17" s="98">
        <f>GETPIVOTDATA("Sum of NEW-Tot UG SCH Calc",'Pivot Table for Fact Book'!$A$3,"State","TN","type",6,"Type2","Four-Year")</f>
        <v>0</v>
      </c>
      <c r="N17" s="97">
        <f>GETPIVOTDATA("Sum of OLD-Tot UG SCH Calc",'Pivot Table for Fact Book'!$A$3,"State","TN","type",15,"Type2","Four-Year")</f>
        <v>0</v>
      </c>
      <c r="O17" s="98">
        <f>GETPIVOTDATA("Sum of NEW-Tot UG SCH Calc",'Pivot Table for Fact Book'!$A$3,"State","TN","type",15,"Type2","Four-Year")</f>
        <v>0</v>
      </c>
      <c r="P17" s="99">
        <f>GETPIVOTDATA("Sum of OLD-Tot UG SCH Calc",'Pivot Table for Fact Book'!$A$3,"State","TN","Type2","Four-Year")</f>
        <v>2938834</v>
      </c>
      <c r="Q17" s="99">
        <f>GETPIVOTDATA("Sum of NEW-Tot UG SCH Calc",'Pivot Table for Fact Book'!$A$3,"State","TN","Type2","Four-Year")</f>
        <v>2889366</v>
      </c>
      <c r="R17" s="97">
        <f>GETPIVOTDATA("Sum of OLD-Tot UG SCH Calc",'Pivot Table for Fact Book'!$A$3,"State","TN","type",7,"Type2","Two-Year")</f>
        <v>0</v>
      </c>
      <c r="S17" s="98">
        <f>GETPIVOTDATA("Sum of NEW-Tot UG SCH Calc",'Pivot Table for Fact Book'!$A$3,"State","TN","type",7,"Type2","Two-Year")</f>
        <v>0</v>
      </c>
      <c r="T17" s="98">
        <f>GETPIVOTDATA("Sum of OLD-Tot UG SCH Calc",'Pivot Table for Fact Book'!$A$3,"State","TN","type",8,"Type2","Two-Year")</f>
        <v>878008</v>
      </c>
      <c r="U17" s="98">
        <f>GETPIVOTDATA("Sum of NEW-Tot UG SCH Calc",'Pivot Table for Fact Book'!$A$3,"State","TN","type",8,"Type2","Two-Year")</f>
        <v>769449</v>
      </c>
      <c r="V17" s="98">
        <f>GETPIVOTDATA("Sum of OLD-Tot UG SCH Calc",'Pivot Table for Fact Book'!$A$3,"State","TN","type",9,"Type2","Two-Year")</f>
        <v>777970</v>
      </c>
      <c r="W17" s="98">
        <f>GETPIVOTDATA("Sum of NEW-Tot UG SCH Calc",'Pivot Table for Fact Book'!$A$3,"State","TN","type",9,"Type2","Two-Year")</f>
        <v>659507</v>
      </c>
      <c r="X17" s="98">
        <f>GETPIVOTDATA("Sum of OLD-Tot UG SCH Calc",'Pivot Table for Fact Book'!$A$3,"State","TN","type",10,"Type2","Two-Year")</f>
        <v>52670</v>
      </c>
      <c r="Y17" s="98">
        <f>GETPIVOTDATA("Sum of NEW-Tot UG SCH Calc",'Pivot Table for Fact Book'!$A$3,"State","TN","type",10,"Type2","Two-Year")</f>
        <v>51028</v>
      </c>
      <c r="Z17" s="100">
        <f>GETPIVOTDATA("Sum of OLD-Tot UG SCH Calc",'Pivot Table for Fact Book'!$A$3,"State","TN","Type2","Two-Year")</f>
        <v>1708648</v>
      </c>
      <c r="AA17" s="100">
        <f>GETPIVOTDATA("Sum of NEW-Tot UG SCH Calc",'Pivot Table for Fact Book'!$A$3,"State","TN","Type2","Two-Year")</f>
        <v>1479984</v>
      </c>
      <c r="AB17" s="97">
        <f>+GETPIVOTDATA("Sum of OLD-Tot UG SCH Calc",'Pivot Table for Fact Book'!$A$3,"State","TN","type",12,"type2","Techncial")</f>
        <v>0</v>
      </c>
      <c r="AC17" s="98">
        <f>+GETPIVOTDATA("Sum of NEW-Tot UG SCH Calc",'Pivot Table for Fact Book'!$A$3,"State","TN","type",12,"type2","Techncial")</f>
        <v>0</v>
      </c>
      <c r="AD17" s="97">
        <f>+GETPIVOTDATA("Sum of OLD-Tot UG SCH Calc",'Pivot Table for Fact Book'!$A$3,"State","TN","type",13,"type2","Techncial")</f>
        <v>0</v>
      </c>
      <c r="AE17" s="98">
        <f>+GETPIVOTDATA("Sum of NEW-Tot UG SCH Calc",'Pivot Table for Fact Book'!$A$3,"State","TN","type",13,"type2","Techncial")</f>
        <v>0</v>
      </c>
      <c r="AF17" s="101">
        <f>+GETPIVOTDATA("Sum of OLD-Tot UG SCH Calc",'Pivot Table for Fact Book'!$A$3,"State","TN","type2","Techncial")</f>
        <v>0</v>
      </c>
      <c r="AG17" s="102">
        <f>+GETPIVOTDATA("Sum of NEW-Tot UG SCH Calc",'Pivot Table for Fact Book'!$A$3,"State","TN","type2","Techncial")</f>
        <v>0</v>
      </c>
    </row>
    <row r="18" spans="1:33">
      <c r="A18" s="110" t="s">
        <v>631</v>
      </c>
      <c r="B18" s="97">
        <f>GETPIVOTDATA("Sum of OLD-Tot UG SCH Calc",'Pivot Table for Fact Book'!$A$3,"State","TX","type",1,"Type2","Four-Year")</f>
        <v>0</v>
      </c>
      <c r="C18" s="98">
        <f>GETPIVOTDATA("Sum of NEW-Tot UG SCH Calc",'Pivot Table for Fact Book'!$A$3,"State","TX","type",1,"Type2","Four-Year")</f>
        <v>7381823</v>
      </c>
      <c r="D18" s="97">
        <f>GETPIVOTDATA("Sum of OLD-Tot UG SCH Calc",'Pivot Table for Fact Book'!$A$3,"State","TX","type",2,"Type2","Four-Year")</f>
        <v>0</v>
      </c>
      <c r="E18" s="98">
        <f>GETPIVOTDATA("Sum of NEW-Tot UG SCH Calc",'Pivot Table for Fact Book'!$A$3,"State","TX","type",2,"Type2","Four-Year")</f>
        <v>1631238</v>
      </c>
      <c r="F18" s="97">
        <f>GETPIVOTDATA("Sum of OLD-Tot UG SCH Calc",'Pivot Table for Fact Book'!$A$3,"State","TX","type",3,"Type2","Four-Year")</f>
        <v>0</v>
      </c>
      <c r="G18" s="98">
        <f>GETPIVOTDATA("Sum of NEW-Tot UG SCH Calc",'Pivot Table for Fact Book'!$A$3,"State","TX","type",3,"Type2","Four-Year")</f>
        <v>4129716</v>
      </c>
      <c r="H18" s="97">
        <f>GETPIVOTDATA("Sum of OLD-Tot UG SCH Calc",'Pivot Table for Fact Book'!$A$3,"State","TX","type",4,"Type2","Four-Year")</f>
        <v>0</v>
      </c>
      <c r="I18" s="98">
        <f>GETPIVOTDATA("Sum of NEW-Tot UG SCH Calc",'Pivot Table for Fact Book'!$A$3,"State","TX","type",4,"Type2","Four-Year")</f>
        <v>626989</v>
      </c>
      <c r="J18" s="97">
        <f>GETPIVOTDATA("Sum of OLD-Tot UG SCH Calc",'Pivot Table for Fact Book'!$A$3,"State","TX","type",5,"Type2","Four-Year")</f>
        <v>0</v>
      </c>
      <c r="K18" s="98">
        <f>GETPIVOTDATA("Sum of NEW-Tot UG SCH Calc",'Pivot Table for Fact Book'!$A$3,"State","TX","type",5,"Type2","Four-Year")</f>
        <v>64897</v>
      </c>
      <c r="L18" s="97">
        <f>GETPIVOTDATA("Sum of OLD-Tot UG SCH Calc",'Pivot Table for Fact Book'!$A$3,"State","TX","type",6,"Type2","Four-Year")</f>
        <v>0</v>
      </c>
      <c r="M18" s="98">
        <f>GETPIVOTDATA("Sum of NEW-Tot UG SCH Calc",'Pivot Table for Fact Book'!$A$3,"State","TX","type",6,"Type2","Four-Year")</f>
        <v>0</v>
      </c>
      <c r="N18" s="97">
        <f>GETPIVOTDATA("Sum of OLD-Tot UG SCH Calc",'Pivot Table for Fact Book'!$A$3,"State","TX","type",15,"Type2","Four-Year")</f>
        <v>0</v>
      </c>
      <c r="O18" s="98">
        <f>GETPIVOTDATA("Sum of NEW-Tot UG SCH Calc",'Pivot Table for Fact Book'!$A$3,"State","TX","type",15,"Type2","Four-Year")</f>
        <v>0</v>
      </c>
      <c r="P18" s="99">
        <f>GETPIVOTDATA("Sum of OLD-Tot UG SCH Calc",'Pivot Table for Fact Book'!$A$3,"State","TX","Type2","Four-Year")</f>
        <v>0</v>
      </c>
      <c r="Q18" s="99">
        <f>GETPIVOTDATA("Sum of NEW-Tot UG SCH Calc",'Pivot Table for Fact Book'!$A$3,"State","TX","Type2","Four-Year")</f>
        <v>13834663</v>
      </c>
      <c r="R18" s="97">
        <f>GETPIVOTDATA("Sum of OLD-Tot UG SCH Calc",'Pivot Table for Fact Book'!$A$3,"State","TX","type",7,"Type2","Two-Year")</f>
        <v>0</v>
      </c>
      <c r="S18" s="98">
        <f>GETPIVOTDATA("Sum of NEW-Tot UG SCH Calc",'Pivot Table for Fact Book'!$A$3,"State","TX","type",7,"Type2","Two-Year")</f>
        <v>745813</v>
      </c>
      <c r="T18" s="98">
        <f>GETPIVOTDATA("Sum of OLD-Tot UG SCH Calc",'Pivot Table for Fact Book'!$A$3,"State","TX","type",8,"Type2","Two-Year")</f>
        <v>0</v>
      </c>
      <c r="U18" s="98">
        <f>GETPIVOTDATA("Sum of NEW-Tot UG SCH Calc",'Pivot Table for Fact Book'!$A$3,"State","TX","type",8,"Type2","Two-Year")</f>
        <v>9513839</v>
      </c>
      <c r="V18" s="98">
        <f>GETPIVOTDATA("Sum of OLD-Tot UG SCH Calc",'Pivot Table for Fact Book'!$A$3,"State","TX","type",9,"Type2","Two-Year")</f>
        <v>0</v>
      </c>
      <c r="W18" s="98">
        <f>GETPIVOTDATA("Sum of NEW-Tot UG SCH Calc",'Pivot Table for Fact Book'!$A$3,"State","TX","type",9,"Type2","Two-Year")</f>
        <v>2369322</v>
      </c>
      <c r="X18" s="98">
        <f>GETPIVOTDATA("Sum of OLD-Tot UG SCH Calc",'Pivot Table for Fact Book'!$A$3,"State","TX","type",10,"Type2","Two-Year")</f>
        <v>0</v>
      </c>
      <c r="Y18" s="98">
        <f>GETPIVOTDATA("Sum of NEW-Tot UG SCH Calc",'Pivot Table for Fact Book'!$A$3,"State","TX","type",10,"Type2","Two-Year")</f>
        <v>779499</v>
      </c>
      <c r="Z18" s="100">
        <f>GETPIVOTDATA("Sum of OLD-Tot UG SCH Calc",'Pivot Table for Fact Book'!$A$3,"State","TX","Type2","Two-Year")</f>
        <v>0</v>
      </c>
      <c r="AA18" s="100">
        <f>GETPIVOTDATA("Sum of NEW-Tot UG SCH Calc",'Pivot Table for Fact Book'!$A$3,"State","TX","Type2","Two-Year")</f>
        <v>13408473</v>
      </c>
      <c r="AB18" s="97">
        <f>+GETPIVOTDATA("Sum of OLD-Tot UG SCH Calc",'Pivot Table for Fact Book'!$A$3,"State","TX","type",12,"type2","Techncial")</f>
        <v>0</v>
      </c>
      <c r="AC18" s="98">
        <f>+GETPIVOTDATA("Sum of NEW-Tot UG SCH Calc",'Pivot Table for Fact Book'!$A$3,"State","TX","type",12,"type2","Techncial")</f>
        <v>0</v>
      </c>
      <c r="AD18" s="97">
        <f>+GETPIVOTDATA("Sum of OLD-Tot UG SCH Calc",'Pivot Table for Fact Book'!$A$3,"State","TX","type",13,"type2","Techncial")</f>
        <v>0</v>
      </c>
      <c r="AE18" s="98">
        <f>+GETPIVOTDATA("Sum of NEW-Tot UG SCH Calc",'Pivot Table for Fact Book'!$A$3,"State","TX","type",13,"type2","Techncial")</f>
        <v>0</v>
      </c>
      <c r="AF18" s="101">
        <f>+GETPIVOTDATA("Sum of OLD-Tot UG SCH Calc",'Pivot Table for Fact Book'!$A$3,"State","TX","type2","Techncial")</f>
        <v>0</v>
      </c>
      <c r="AG18" s="102">
        <f>+GETPIVOTDATA("Sum of NEW-Tot UG SCH Calc",'Pivot Table for Fact Book'!$A$3,"State","TX","type2","Techncial")</f>
        <v>0</v>
      </c>
    </row>
    <row r="19" spans="1:33">
      <c r="A19" s="110" t="s">
        <v>632</v>
      </c>
      <c r="B19" s="97">
        <f>GETPIVOTDATA("Sum of OLD-Tot UG SCH Calc",'Pivot Table for Fact Book'!$A$3,"State","VA","type",1,"Type2","Four-Year")</f>
        <v>3275336</v>
      </c>
      <c r="C19" s="98">
        <f>GETPIVOTDATA("Sum of NEW-Tot UG SCH Calc",'Pivot Table for Fact Book'!$A$3,"State","VA","type",1,"Type2","Four-Year")</f>
        <v>3317776</v>
      </c>
      <c r="D19" s="97">
        <f>GETPIVOTDATA("Sum of OLD-Tot UG SCH Calc",'Pivot Table for Fact Book'!$A$3,"State","VA","type",2,"Type2","Four-Year")</f>
        <v>184143.5</v>
      </c>
      <c r="E19" s="98">
        <f>GETPIVOTDATA("Sum of NEW-Tot UG SCH Calc",'Pivot Table for Fact Book'!$A$3,"State","VA","type",2,"Type2","Four-Year")</f>
        <v>182600.3</v>
      </c>
      <c r="F19" s="97">
        <f>GETPIVOTDATA("Sum of OLD-Tot UG SCH Calc",'Pivot Table for Fact Book'!$A$3,"State","VA","type",3,"Type2","Four-Year")</f>
        <v>944287.7</v>
      </c>
      <c r="G19" s="98">
        <f>GETPIVOTDATA("Sum of NEW-Tot UG SCH Calc",'Pivot Table for Fact Book'!$A$3,"State","VA","type",3,"Type2","Four-Year")</f>
        <v>922524</v>
      </c>
      <c r="H19" s="97">
        <f>GETPIVOTDATA("Sum of OLD-Tot UG SCH Calc",'Pivot Table for Fact Book'!$A$3,"State","VA","type",4,"Type2","Four-Year")</f>
        <v>137498</v>
      </c>
      <c r="I19" s="98">
        <f>GETPIVOTDATA("Sum of NEW-Tot UG SCH Calc",'Pivot Table for Fact Book'!$A$3,"State","VA","type",4,"Type2","Four-Year")</f>
        <v>136802</v>
      </c>
      <c r="J19" s="97">
        <f>GETPIVOTDATA("Sum of OLD-Tot UG SCH Calc",'Pivot Table for Fact Book'!$A$3,"State","VA","type",5,"Type2","Four-Year")</f>
        <v>372672.2</v>
      </c>
      <c r="K19" s="98">
        <f>GETPIVOTDATA("Sum of NEW-Tot UG SCH Calc",'Pivot Table for Fact Book'!$A$3,"State","VA","type",5,"Type2","Four-Year")</f>
        <v>364064</v>
      </c>
      <c r="L19" s="97">
        <f>GETPIVOTDATA("Sum of OLD-Tot UG SCH Calc",'Pivot Table for Fact Book'!$A$3,"State","VA","type",6,"Type2","Four-Year")</f>
        <v>45800</v>
      </c>
      <c r="M19" s="98">
        <f>GETPIVOTDATA("Sum of NEW-Tot UG SCH Calc",'Pivot Table for Fact Book'!$A$3,"State","VA","type",6,"Type2","Four-Year")</f>
        <v>45821</v>
      </c>
      <c r="N19" s="97">
        <f>GETPIVOTDATA("Sum of OLD-Tot UG SCH Calc",'Pivot Table for Fact Book'!$A$3,"State","VA","type",15,"Type2","Four-Year")</f>
        <v>0</v>
      </c>
      <c r="O19" s="98">
        <f>GETPIVOTDATA("Sum of NEW-Tot UG SCH Calc",'Pivot Table for Fact Book'!$A$3,"State","VA","type",15,"Type2","Four-Year")</f>
        <v>0</v>
      </c>
      <c r="P19" s="99">
        <f>GETPIVOTDATA("Sum of OLD-Tot UG SCH Calc",'Pivot Table for Fact Book'!$A$3,"State","VA","Type2","Four-Year")</f>
        <v>4959737.4000000004</v>
      </c>
      <c r="Q19" s="99">
        <f>GETPIVOTDATA("Sum of NEW-Tot UG SCH Calc",'Pivot Table for Fact Book'!$A$3,"State","VA","Type2","Four-Year")</f>
        <v>4969587.3</v>
      </c>
      <c r="R19" s="97">
        <f>GETPIVOTDATA("Sum of OLD-Tot UG SCH Calc",'Pivot Table for Fact Book'!$A$3,"State","VA","type",7,"Type2","Two-Year")</f>
        <v>0</v>
      </c>
      <c r="S19" s="98">
        <f>GETPIVOTDATA("Sum of NEW-Tot UG SCH Calc",'Pivot Table for Fact Book'!$A$3,"State","VA","type",7,"Type2","Two-Year")</f>
        <v>0</v>
      </c>
      <c r="T19" s="98">
        <f>GETPIVOTDATA("Sum of OLD-Tot UG SCH Calc",'Pivot Table for Fact Book'!$A$3,"State","VA","type",8,"Type2","Two-Year")</f>
        <v>1819949</v>
      </c>
      <c r="U19" s="98">
        <f>GETPIVOTDATA("Sum of NEW-Tot UG SCH Calc",'Pivot Table for Fact Book'!$A$3,"State","VA","type",8,"Type2","Two-Year")</f>
        <v>1731760</v>
      </c>
      <c r="V19" s="98">
        <f>GETPIVOTDATA("Sum of OLD-Tot UG SCH Calc",'Pivot Table for Fact Book'!$A$3,"State","VA","type",9,"Type2","Two-Year")</f>
        <v>718044</v>
      </c>
      <c r="W19" s="98">
        <f>GETPIVOTDATA("Sum of NEW-Tot UG SCH Calc",'Pivot Table for Fact Book'!$A$3,"State","VA","type",9,"Type2","Two-Year")</f>
        <v>704936</v>
      </c>
      <c r="X19" s="98">
        <f>GETPIVOTDATA("Sum of OLD-Tot UG SCH Calc",'Pivot Table for Fact Book'!$A$3,"State","VA","type",10,"Type2","Two-Year")</f>
        <v>429842</v>
      </c>
      <c r="Y19" s="98">
        <f>GETPIVOTDATA("Sum of NEW-Tot UG SCH Calc",'Pivot Table for Fact Book'!$A$3,"State","VA","type",10,"Type2","Two-Year")</f>
        <v>414128</v>
      </c>
      <c r="Z19" s="100">
        <f>GETPIVOTDATA("Sum of OLD-Tot UG SCH Calc",'Pivot Table for Fact Book'!$A$3,"State","VA","Type2","Two-Year")</f>
        <v>2967835</v>
      </c>
      <c r="AA19" s="100">
        <f>GETPIVOTDATA("Sum of NEW-Tot UG SCH Calc",'Pivot Table for Fact Book'!$A$3,"State","VA","Type2","Two-Year")</f>
        <v>2850824</v>
      </c>
      <c r="AB19" s="97">
        <f>+GETPIVOTDATA("Sum of OLD-Tot UG SCH Calc",'Pivot Table for Fact Book'!$A$3,"State","VA","type",12,"type2","Techncial")</f>
        <v>0</v>
      </c>
      <c r="AC19" s="98">
        <f>+GETPIVOTDATA("Sum of NEW-Tot UG SCH Calc",'Pivot Table for Fact Book'!$A$3,"State","VA","type",12,"type2","Techncial")</f>
        <v>0</v>
      </c>
      <c r="AD19" s="97">
        <f>+GETPIVOTDATA("Sum of OLD-Tot UG SCH Calc",'Pivot Table for Fact Book'!$A$3,"State","VA","type",13,"type2","Techncial")</f>
        <v>0</v>
      </c>
      <c r="AE19" s="98">
        <f>+GETPIVOTDATA("Sum of NEW-Tot UG SCH Calc",'Pivot Table for Fact Book'!$A$3,"State","VA","type",13,"type2","Techncial")</f>
        <v>0</v>
      </c>
      <c r="AF19" s="101">
        <f>+GETPIVOTDATA("Sum of OLD-Tot UG SCH Calc",'Pivot Table for Fact Book'!$A$3,"State","VA","type2","Techncial")</f>
        <v>0</v>
      </c>
      <c r="AG19" s="102">
        <f>+GETPIVOTDATA("Sum of NEW-Tot UG SCH Calc",'Pivot Table for Fact Book'!$A$3,"State","VA","type2","Techncial")</f>
        <v>0</v>
      </c>
    </row>
    <row r="20" spans="1:33">
      <c r="A20" s="131" t="s">
        <v>633</v>
      </c>
      <c r="B20" s="103">
        <f>GETPIVOTDATA("Sum of OLD-Tot UG SCH Calc",'Pivot Table for Fact Book'!$A$3,"State","WV","type",1,"Type2","Four-Year")</f>
        <v>610650</v>
      </c>
      <c r="C20" s="104">
        <f>GETPIVOTDATA("Sum of NEW-Tot UG SCH Calc",'Pivot Table for Fact Book'!$A$3,"State","WV","type",1,"Type2","Four-Year")</f>
        <v>598709</v>
      </c>
      <c r="D20" s="103">
        <f>GETPIVOTDATA("Sum of OLD-Tot UG SCH Calc",'Pivot Table for Fact Book'!$A$3,"State","WV","type",2,"Type2","Four-Year")</f>
        <v>0</v>
      </c>
      <c r="E20" s="104">
        <f>GETPIVOTDATA("Sum of NEW-Tot UG SCH Calc",'Pivot Table for Fact Book'!$A$3,"State","WV","type",2,"Type2","Four-Year")</f>
        <v>0</v>
      </c>
      <c r="F20" s="103">
        <f>GETPIVOTDATA("Sum of OLD-Tot UG SCH Calc",'Pivot Table for Fact Book'!$A$3,"State","WV","type",3,"Type2","Four-Year")</f>
        <v>246456</v>
      </c>
      <c r="G20" s="104">
        <f>GETPIVOTDATA("Sum of NEW-Tot UG SCH Calc",'Pivot Table for Fact Book'!$A$3,"State","WV","type",3,"Type2","Four-Year")</f>
        <v>237987</v>
      </c>
      <c r="H20" s="103">
        <f>GETPIVOTDATA("Sum of OLD-Tot UG SCH Calc",'Pivot Table for Fact Book'!$A$3,"State","WV","type",4,"Type2","Four-Year")</f>
        <v>0</v>
      </c>
      <c r="I20" s="104">
        <f>GETPIVOTDATA("Sum of NEW-Tot UG SCH Calc",'Pivot Table for Fact Book'!$A$3,"State","WV","type",4,"Type2","Four-Year")</f>
        <v>0</v>
      </c>
      <c r="J20" s="103">
        <f>GETPIVOTDATA("Sum of OLD-Tot UG SCH Calc",'Pivot Table for Fact Book'!$A$3,"State","WV","type",5,"Type2","Four-Year")</f>
        <v>285476</v>
      </c>
      <c r="K20" s="104">
        <f>GETPIVOTDATA("Sum of NEW-Tot UG SCH Calc",'Pivot Table for Fact Book'!$A$3,"State","WV","type",5,"Type2","Four-Year")</f>
        <v>273572</v>
      </c>
      <c r="L20" s="103">
        <f>GETPIVOTDATA("Sum of OLD-Tot UG SCH Calc",'Pivot Table for Fact Book'!$A$3,"State","WV","type",6,"Type2","Four-Year")</f>
        <v>177726</v>
      </c>
      <c r="M20" s="104">
        <f>GETPIVOTDATA("Sum of NEW-Tot UG SCH Calc",'Pivot Table for Fact Book'!$A$3,"State","WV","type",6,"Type2","Four-Year")</f>
        <v>172922</v>
      </c>
      <c r="N20" s="103">
        <f>GETPIVOTDATA("Sum of OLD-Tot UG SCH Calc",'Pivot Table for Fact Book'!$A$3,"State","WV","type",15,"Type2","Four-Year")</f>
        <v>0</v>
      </c>
      <c r="O20" s="104">
        <f>GETPIVOTDATA("Sum of NEW-Tot UG SCH Calc",'Pivot Table for Fact Book'!$A$3,"State","WV","type",15,"Type2","Four-Year")</f>
        <v>0</v>
      </c>
      <c r="P20" s="105">
        <f>GETPIVOTDATA("Sum of OLD-Tot UG SCH Calc",'Pivot Table for Fact Book'!$A$3,"State","WV","Type2","Four-Year")</f>
        <v>1320308</v>
      </c>
      <c r="Q20" s="105">
        <f>GETPIVOTDATA("Sum of NEW-Tot UG SCH Calc",'Pivot Table for Fact Book'!$A$3,"State","WV","Type2","Four-Year")</f>
        <v>1283190</v>
      </c>
      <c r="R20" s="103">
        <f>GETPIVOTDATA("Sum of OLD-Tot UG SCH Calc",'Pivot Table for Fact Book'!$A$3,"State","WV","type",7,"Type2","Two-Year")</f>
        <v>86472</v>
      </c>
      <c r="S20" s="104">
        <f>GETPIVOTDATA("Sum of NEW-Tot UG SCH Calc",'Pivot Table for Fact Book'!$A$3,"State","WV","type",7,"Type2","Two-Year")</f>
        <v>85741</v>
      </c>
      <c r="T20" s="104">
        <f>GETPIVOTDATA("Sum of OLD-Tot UG SCH Calc",'Pivot Table for Fact Book'!$A$3,"State","WV","type",8,"Type2","Two-Year")</f>
        <v>0</v>
      </c>
      <c r="U20" s="104">
        <f>GETPIVOTDATA("Sum of NEW-Tot UG SCH Calc",'Pivot Table for Fact Book'!$A$3,"State","WV","type",8,"Type2","Two-Year")</f>
        <v>0</v>
      </c>
      <c r="V20" s="104">
        <f>GETPIVOTDATA("Sum of OLD-Tot UG SCH Calc",'Pivot Table for Fact Book'!$A$3,"State","WV","type",9,"Type2","Two-Year")</f>
        <v>65355</v>
      </c>
      <c r="W20" s="104">
        <f>GETPIVOTDATA("Sum of NEW-Tot UG SCH Calc",'Pivot Table for Fact Book'!$A$3,"State","WV","type",9,"Type2","Two-Year")</f>
        <v>50852</v>
      </c>
      <c r="X20" s="104">
        <f>GETPIVOTDATA("Sum of OLD-Tot UG SCH Calc",'Pivot Table for Fact Book'!$A$3,"State","WV","type",10,"Type2","Two-Year")</f>
        <v>212955</v>
      </c>
      <c r="Y20" s="104">
        <f>GETPIVOTDATA("Sum of NEW-Tot UG SCH Calc",'Pivot Table for Fact Book'!$A$3,"State","WV","type",10,"Type2","Two-Year")</f>
        <v>199350</v>
      </c>
      <c r="Z20" s="106">
        <f>GETPIVOTDATA("Sum of OLD-Tot UG SCH Calc",'Pivot Table for Fact Book'!$A$3,"State","WV","Type2","Two-Year")</f>
        <v>364782</v>
      </c>
      <c r="AA20" s="106">
        <f>GETPIVOTDATA("Sum of NEW-Tot UG SCH Calc",'Pivot Table for Fact Book'!$A$3,"State","WV","Type2","Two-Year")</f>
        <v>335943</v>
      </c>
      <c r="AB20" s="103">
        <f>+GETPIVOTDATA("Sum of OLD-Tot UG SCH Calc",'Pivot Table for Fact Book'!$A$3,"State","WV","type",12,"type2","Techncial")</f>
        <v>0</v>
      </c>
      <c r="AC20" s="104">
        <f>+GETPIVOTDATA("Sum of NEW-Tot UG SCH Calc",'Pivot Table for Fact Book'!$A$3,"State","WV","type",12,"type2","Techncial")</f>
        <v>0</v>
      </c>
      <c r="AD20" s="103">
        <f>+GETPIVOTDATA("Sum of OLD-Tot UG SCH Calc",'Pivot Table for Fact Book'!$A$3,"State","WV","type",13,"type2","Techncial")</f>
        <v>0</v>
      </c>
      <c r="AE20" s="104">
        <f>+GETPIVOTDATA("Sum of NEW-Tot UG SCH Calc",'Pivot Table for Fact Book'!$A$3,"State","WV","type",13,"type2","Techncial")</f>
        <v>0</v>
      </c>
      <c r="AF20" s="107">
        <f>+GETPIVOTDATA("Sum of OLD-Tot UG SCH Calc",'Pivot Table for Fact Book'!$A$3,"State","WV","type2","Techncial")</f>
        <v>0</v>
      </c>
      <c r="AG20" s="108">
        <f>+GETPIVOTDATA("Sum of NEW-Tot UG SCH Calc",'Pivot Table for Fact Book'!$A$3,"State","WV","type2","Techncial")</f>
        <v>0</v>
      </c>
    </row>
    <row r="22" spans="1:33">
      <c r="A22" s="109" t="s">
        <v>634</v>
      </c>
    </row>
    <row r="23" spans="1:33">
      <c r="B23" s="111" t="s">
        <v>614</v>
      </c>
      <c r="C23" s="112"/>
      <c r="D23" s="112"/>
      <c r="E23" s="112"/>
      <c r="F23" s="112"/>
      <c r="G23" s="112"/>
      <c r="H23" s="112"/>
      <c r="I23" s="112"/>
      <c r="J23" s="112"/>
      <c r="K23" s="112"/>
      <c r="L23" s="112"/>
      <c r="M23" s="112"/>
      <c r="N23" s="112"/>
      <c r="O23" s="112"/>
      <c r="P23" s="112"/>
      <c r="Q23" s="112"/>
      <c r="R23" s="113" t="s">
        <v>615</v>
      </c>
      <c r="S23" s="114"/>
      <c r="T23" s="114"/>
      <c r="U23" s="114"/>
      <c r="V23" s="114"/>
      <c r="W23" s="114"/>
      <c r="X23" s="114"/>
      <c r="Y23" s="114"/>
      <c r="Z23" s="114"/>
      <c r="AA23" s="114"/>
      <c r="AB23" s="115" t="s">
        <v>616</v>
      </c>
      <c r="AC23" s="116"/>
      <c r="AD23" s="116"/>
      <c r="AE23" s="116"/>
      <c r="AF23" s="116"/>
      <c r="AG23" s="116"/>
    </row>
    <row r="24" spans="1:33">
      <c r="B24" s="117">
        <v>1</v>
      </c>
      <c r="C24" s="118"/>
      <c r="D24" s="117">
        <v>2</v>
      </c>
      <c r="E24" s="118"/>
      <c r="F24" s="117">
        <v>3</v>
      </c>
      <c r="G24" s="118"/>
      <c r="H24" s="117">
        <v>4</v>
      </c>
      <c r="I24" s="118"/>
      <c r="J24" s="117">
        <v>5</v>
      </c>
      <c r="K24" s="118"/>
      <c r="L24" s="117">
        <v>6</v>
      </c>
      <c r="M24" s="118"/>
      <c r="N24" s="117">
        <v>15</v>
      </c>
      <c r="O24" s="118"/>
      <c r="P24" s="117" t="s">
        <v>617</v>
      </c>
      <c r="Q24" s="119"/>
      <c r="R24" s="120">
        <v>7</v>
      </c>
      <c r="S24" s="121"/>
      <c r="T24" s="120">
        <v>8</v>
      </c>
      <c r="U24" s="121"/>
      <c r="V24" s="120">
        <v>9</v>
      </c>
      <c r="W24" s="121"/>
      <c r="X24" s="120">
        <v>10</v>
      </c>
      <c r="Y24" s="121"/>
      <c r="Z24" s="120" t="s">
        <v>617</v>
      </c>
      <c r="AA24" s="121"/>
      <c r="AB24" s="122">
        <v>12</v>
      </c>
      <c r="AC24" s="123"/>
      <c r="AD24" s="122">
        <v>13</v>
      </c>
      <c r="AE24" s="123"/>
      <c r="AF24" s="122" t="s">
        <v>617</v>
      </c>
      <c r="AG24" s="123"/>
    </row>
    <row r="25" spans="1:33" s="133" customFormat="1">
      <c r="A25" s="132"/>
      <c r="B25" s="125">
        <v>2019</v>
      </c>
      <c r="C25" s="126">
        <v>2020</v>
      </c>
      <c r="D25" s="125">
        <v>2019</v>
      </c>
      <c r="E25" s="126">
        <v>2020</v>
      </c>
      <c r="F25" s="125">
        <v>2019</v>
      </c>
      <c r="G25" s="126">
        <v>2020</v>
      </c>
      <c r="H25" s="125">
        <v>2019</v>
      </c>
      <c r="I25" s="126">
        <v>2020</v>
      </c>
      <c r="J25" s="125">
        <v>2019</v>
      </c>
      <c r="K25" s="126">
        <v>2020</v>
      </c>
      <c r="L25" s="125">
        <v>2019</v>
      </c>
      <c r="M25" s="126">
        <v>2020</v>
      </c>
      <c r="N25" s="125">
        <v>2019</v>
      </c>
      <c r="O25" s="126">
        <v>2020</v>
      </c>
      <c r="P25" s="125">
        <v>2019</v>
      </c>
      <c r="Q25" s="126">
        <v>2020</v>
      </c>
      <c r="R25" s="127">
        <v>2019</v>
      </c>
      <c r="S25" s="128">
        <v>2020</v>
      </c>
      <c r="T25" s="127">
        <v>2019</v>
      </c>
      <c r="U25" s="128">
        <v>2020</v>
      </c>
      <c r="V25" s="127">
        <v>2019</v>
      </c>
      <c r="W25" s="128">
        <v>2020</v>
      </c>
      <c r="X25" s="127">
        <v>2019</v>
      </c>
      <c r="Y25" s="128">
        <v>2020</v>
      </c>
      <c r="Z25" s="127">
        <v>2019</v>
      </c>
      <c r="AA25" s="128">
        <v>2020</v>
      </c>
      <c r="AB25" s="127">
        <v>2019</v>
      </c>
      <c r="AC25" s="129">
        <v>2020</v>
      </c>
      <c r="AD25" s="127">
        <v>2019</v>
      </c>
      <c r="AE25" s="129">
        <v>2020</v>
      </c>
      <c r="AF25" s="127">
        <v>2019</v>
      </c>
      <c r="AG25" s="129">
        <v>2020</v>
      </c>
    </row>
    <row r="26" spans="1:33">
      <c r="A26" s="110" t="s">
        <v>618</v>
      </c>
      <c r="B26" s="97">
        <f>GETPIVOTDATA("Sum of Old UG E-Learning",'Pivot Table for Fact Book'!$A$3,"State","AL","type",1,"Type2","Four-Year")</f>
        <v>293112</v>
      </c>
      <c r="C26" s="98">
        <f>GETPIVOTDATA("Sum of New UG E-Learning",'Pivot Table for Fact Book'!$A$3,"State","AL","type",1,"Type2","Four-Year")</f>
        <v>536968</v>
      </c>
      <c r="D26" s="97">
        <f>GETPIVOTDATA("Sum of Old UG E-Learning",'Pivot Table for Fact Book'!$A$3,"State","AL","type",2,"Type2","Four-Year")</f>
        <v>67906</v>
      </c>
      <c r="E26" s="98">
        <f>GETPIVOTDATA("Sum of New UG E-Learning",'Pivot Table for Fact Book'!$A$3,"State","AL","type",2,"Type2","Four-Year")</f>
        <v>152599</v>
      </c>
      <c r="F26" s="97">
        <f>GETPIVOTDATA("Sum of Old UG E-Learning",'Pivot Table for Fact Book'!$A$3,"State","AL","type",3,"Type2","Four-Year")</f>
        <v>254434</v>
      </c>
      <c r="G26" s="98">
        <f>GETPIVOTDATA("Sum of New UG E-Learning",'Pivot Table for Fact Book'!$A$3,"State","AL","type",3,"Type2","Four-Year")</f>
        <v>458679</v>
      </c>
      <c r="H26" s="97">
        <f>GETPIVOTDATA("Sum of Old UG E-Learning",'Pivot Table for Fact Book'!$A$3,"State","AL","type",4,"Type2","Four-Year")</f>
        <v>40480</v>
      </c>
      <c r="I26" s="98">
        <f>GETPIVOTDATA("Sum of New UG E-Learning",'Pivot Table for Fact Book'!$A$3,"State","AL","type",4,"Type2","Four-Year")</f>
        <v>85559</v>
      </c>
      <c r="J26" s="97">
        <f>GETPIVOTDATA("Sum of Old UG E-Learning",'Pivot Table for Fact Book'!$A$3,"State","AL","type",5,"Type2","Four-Year")</f>
        <v>6192</v>
      </c>
      <c r="K26" s="98">
        <f>GETPIVOTDATA("Sum of New UG E-Learning",'Pivot Table for Fact Book'!$A$3,"State","AL","type",5,"Type2","Four-Year")</f>
        <v>19289</v>
      </c>
      <c r="L26" s="97">
        <f>GETPIVOTDATA("Sum of Old UG E-Learning",'Pivot Table for Fact Book'!$A$3,"State","AL","type",6,"Type2","Four-Year")</f>
        <v>52577</v>
      </c>
      <c r="M26" s="98">
        <f>GETPIVOTDATA("Sum of New UG E-Learning",'Pivot Table for Fact Book'!$A$3,"State","AL","type",6,"Type2","Four-Year")</f>
        <v>56608</v>
      </c>
      <c r="N26" s="97">
        <f>GETPIVOTDATA("Sum of Old UG E-Learning",'Pivot Table for Fact Book'!$A$3,"State","AL","type",15,"Type2","Four-Year")</f>
        <v>449</v>
      </c>
      <c r="O26" s="98">
        <f>GETPIVOTDATA("Sum of New UG E-Learning",'Pivot Table for Fact Book'!$A$3,"State","AL","type",15,"Type2","Four-Year")</f>
        <v>812</v>
      </c>
      <c r="P26" s="99">
        <f>GETPIVOTDATA("Sum of Old UG E-Learning",'Pivot Table for Fact Book'!$A$3,"State","AL","Type2","Four-Year")</f>
        <v>715150</v>
      </c>
      <c r="Q26" s="99">
        <f>GETPIVOTDATA("Sum of New UG E-Learning",'Pivot Table for Fact Book'!$A$3,"State","AL","Type2","Four-Year")</f>
        <v>1310514</v>
      </c>
      <c r="R26" s="97">
        <f>GETPIVOTDATA("Sum of Old UG E-Learning",'Pivot Table for Fact Book'!$A$3,"State","AL","type",7,"Type2","Two-Year")</f>
        <v>0</v>
      </c>
      <c r="S26" s="98">
        <f>GETPIVOTDATA("Sum of New UG E-Learning",'Pivot Table for Fact Book'!$A$3,"State","AL","type",7,"Type2","Two-Year")</f>
        <v>0</v>
      </c>
      <c r="T26" s="98">
        <f>GETPIVOTDATA("Sum of Old UG E-Learning",'Pivot Table for Fact Book'!$A$3,"State","AL","type",8,"Type2","Two-Year")</f>
        <v>189349</v>
      </c>
      <c r="U26" s="98">
        <f>GETPIVOTDATA("Sum of New UG E-Learning",'Pivot Table for Fact Book'!$A$3,"State","AL","type",8,"Type2","Two-Year")</f>
        <v>276294</v>
      </c>
      <c r="V26" s="98">
        <f>GETPIVOTDATA("Sum of Old UG E-Learning",'Pivot Table for Fact Book'!$A$3,"State","AL","type",9,"Type2","Two-Year")</f>
        <v>213533</v>
      </c>
      <c r="W26" s="98">
        <f>GETPIVOTDATA("Sum of New UG E-Learning",'Pivot Table for Fact Book'!$A$3,"State","AL","type",9,"Type2","Two-Year")</f>
        <v>330349</v>
      </c>
      <c r="X26" s="98">
        <f>GETPIVOTDATA("Sum of Old UG E-Learning",'Pivot Table for Fact Book'!$A$3,"State","AL","type",10,"Type2","Two-Year")</f>
        <v>115759</v>
      </c>
      <c r="Y26" s="98">
        <f>GETPIVOTDATA("Sum of New UG E-Learning",'Pivot Table for Fact Book'!$A$3,"State","AL","type",10,"Type2","Two-Year")</f>
        <v>163467</v>
      </c>
      <c r="Z26" s="100">
        <f>GETPIVOTDATA("Sum of Old UG E-Learning",'Pivot Table for Fact Book'!$A$3,"State","AL","Type2","Two-Year")</f>
        <v>518641</v>
      </c>
      <c r="AA26" s="100">
        <f>GETPIVOTDATA("Sum of New UG E-Learning",'Pivot Table for Fact Book'!$A$3,"State","AL","Type2","Two-Year")</f>
        <v>770110</v>
      </c>
      <c r="AB26" s="97">
        <f>+GETPIVOTDATA("Sum of Old UG E-Learning",'Pivot Table for Fact Book'!$A$3,"State","AL","type",12,"type2","Techncial")</f>
        <v>6546</v>
      </c>
      <c r="AC26" s="98">
        <f>+GETPIVOTDATA("Sum of New UG E-Learning",'Pivot Table for Fact Book'!$A$3,"State","AL","type",12,"type2","Techncial")</f>
        <v>22168</v>
      </c>
      <c r="AD26" s="98">
        <f>+GETPIVOTDATA("Sum of Old UG E-Learning",'Pivot Table for Fact Book'!$A$3,"State","AL","type",13,"type2","Techncial")</f>
        <v>5397</v>
      </c>
      <c r="AE26" s="98">
        <f>+GETPIVOTDATA("Sum of New UG E-Learning",'Pivot Table for Fact Book'!$A$3,"State","AL","type",13,"type2","Techncial")</f>
        <v>5744</v>
      </c>
      <c r="AF26" s="102">
        <f>+GETPIVOTDATA("Sum of Old UG E-Learning",'Pivot Table for Fact Book'!$A$3,"State","AL","type2","Techncial")</f>
        <v>11943</v>
      </c>
      <c r="AG26" s="102">
        <f>+GETPIVOTDATA("Sum of New UG E-Learning",'Pivot Table for Fact Book'!$A$3,"State","AL","type2","Techncial")</f>
        <v>27912</v>
      </c>
    </row>
    <row r="27" spans="1:33">
      <c r="A27" s="110" t="s">
        <v>619</v>
      </c>
      <c r="B27" s="97">
        <f>GETPIVOTDATA("Sum of Old UG E-Learning",'Pivot Table for Fact Book'!$A$3,"State","AR","type",1,"Type2","Four-Year")</f>
        <v>65232</v>
      </c>
      <c r="C27" s="98">
        <f>GETPIVOTDATA("Sum of New UG E-Learning",'Pivot Table for Fact Book'!$A$3,"State","AR","type",1,"Type2","Four-Year")</f>
        <v>85199</v>
      </c>
      <c r="D27" s="97">
        <f>GETPIVOTDATA("Sum of Old UG E-Learning",'Pivot Table for Fact Book'!$A$3,"State","AR","type",2,"Type2","Four-Year")</f>
        <v>71089</v>
      </c>
      <c r="E27" s="98">
        <f>GETPIVOTDATA("Sum of New UG E-Learning",'Pivot Table for Fact Book'!$A$3,"State","AR","type",2,"Type2","Four-Year")</f>
        <v>77443</v>
      </c>
      <c r="F27" s="97">
        <f>GETPIVOTDATA("Sum of Old UG E-Learning",'Pivot Table for Fact Book'!$A$3,"State","AR","type",3,"Type2","Four-Year")</f>
        <v>176715</v>
      </c>
      <c r="G27" s="98">
        <f>GETPIVOTDATA("Sum of New UG E-Learning",'Pivot Table for Fact Book'!$A$3,"State","AR","type",3,"Type2","Four-Year")</f>
        <v>204982</v>
      </c>
      <c r="H27" s="97">
        <f>GETPIVOTDATA("Sum of Old UG E-Learning",'Pivot Table for Fact Book'!$A$3,"State","AR","type",4,"Type2","Four-Year")</f>
        <v>53693</v>
      </c>
      <c r="I27" s="98">
        <f>GETPIVOTDATA("Sum of New UG E-Learning",'Pivot Table for Fact Book'!$A$3,"State","AR","type",4,"Type2","Four-Year")</f>
        <v>61957</v>
      </c>
      <c r="J27" s="97">
        <f>GETPIVOTDATA("Sum of Old UG E-Learning",'Pivot Table for Fact Book'!$A$3,"State","AR","type",5,"Type2","Four-Year")</f>
        <v>0</v>
      </c>
      <c r="K27" s="98">
        <f>GETPIVOTDATA("Sum of New UG E-Learning",'Pivot Table for Fact Book'!$A$3,"State","AR","type",5,"Type2","Four-Year")</f>
        <v>0</v>
      </c>
      <c r="L27" s="97">
        <f>GETPIVOTDATA("Sum of Old UG E-Learning",'Pivot Table for Fact Book'!$A$3,"State","AR","type",6,"Type2","Four-Year")</f>
        <v>56779</v>
      </c>
      <c r="M27" s="98">
        <f>GETPIVOTDATA("Sum of New UG E-Learning",'Pivot Table for Fact Book'!$A$3,"State","AR","type",6,"Type2","Four-Year")</f>
        <v>62382</v>
      </c>
      <c r="N27" s="97">
        <f>GETPIVOTDATA("Sum of Old UG E-Learning",'Pivot Table for Fact Book'!$A$3,"State","AR","type",15,"Type2","Four-Year")</f>
        <v>5321</v>
      </c>
      <c r="O27" s="98">
        <f>GETPIVOTDATA("Sum of New UG E-Learning",'Pivot Table for Fact Book'!$A$3,"State","AR","type",15,"Type2","Four-Year")</f>
        <v>7703</v>
      </c>
      <c r="P27" s="99">
        <f>GETPIVOTDATA("Sum of Old UG E-Learning",'Pivot Table for Fact Book'!$A$3,"State","AR","Type2","Four-Year")</f>
        <v>428829</v>
      </c>
      <c r="Q27" s="99">
        <f>GETPIVOTDATA("Sum of New UG E-Learning",'Pivot Table for Fact Book'!$A$3,"State","AR","Type2","Four-Year")</f>
        <v>499666</v>
      </c>
      <c r="R27" s="97">
        <f>GETPIVOTDATA("Sum of Old UG E-Learning",'Pivot Table for Fact Book'!$A$3,"State","AR","type",7,"Type2","Two-Year")</f>
        <v>0</v>
      </c>
      <c r="S27" s="98">
        <f>GETPIVOTDATA("Sum of New UG E-Learning",'Pivot Table for Fact Book'!$A$3,"State","AR","type",7,"Type2","Two-Year")</f>
        <v>0</v>
      </c>
      <c r="T27" s="98">
        <f>GETPIVOTDATA("Sum of Old UG E-Learning",'Pivot Table for Fact Book'!$A$3,"State","AR","type",8,"Type2","Two-Year")</f>
        <v>45990</v>
      </c>
      <c r="U27" s="98">
        <f>GETPIVOTDATA("Sum of New UG E-Learning",'Pivot Table for Fact Book'!$A$3,"State","AR","type",8,"Type2","Two-Year")</f>
        <v>53522</v>
      </c>
      <c r="V27" s="98">
        <f>GETPIVOTDATA("Sum of Old UG E-Learning",'Pivot Table for Fact Book'!$A$3,"State","AR","type",9,"Type2","Two-Year")</f>
        <v>59060</v>
      </c>
      <c r="W27" s="98">
        <f>GETPIVOTDATA("Sum of New UG E-Learning",'Pivot Table for Fact Book'!$A$3,"State","AR","type",9,"Type2","Two-Year")</f>
        <v>70849</v>
      </c>
      <c r="X27" s="98">
        <f>GETPIVOTDATA("Sum of Old UG E-Learning",'Pivot Table for Fact Book'!$A$3,"State","AR","type",10,"Type2","Two-Year")</f>
        <v>181072</v>
      </c>
      <c r="Y27" s="98">
        <f>GETPIVOTDATA("Sum of New UG E-Learning",'Pivot Table for Fact Book'!$A$3,"State","AR","type",10,"Type2","Two-Year")</f>
        <v>209135</v>
      </c>
      <c r="Z27" s="100">
        <f>GETPIVOTDATA("Sum of Old UG E-Learning",'Pivot Table for Fact Book'!$A$3,"State","AR","Type2","Two-Year")</f>
        <v>286122</v>
      </c>
      <c r="AA27" s="100">
        <f>GETPIVOTDATA("Sum of New UG E-Learning",'Pivot Table for Fact Book'!$A$3,"State","AR","Type2","Two-Year")</f>
        <v>333506</v>
      </c>
      <c r="AB27" s="97">
        <f>+GETPIVOTDATA("Sum of Old UG E-Learning",'Pivot Table for Fact Book'!$A$3,"State","AR","type",12,"type2","Techncial")</f>
        <v>0</v>
      </c>
      <c r="AC27" s="98">
        <f>+GETPIVOTDATA("Sum of New UG E-Learning",'Pivot Table for Fact Book'!$A$3,"State","AR","type",12,"type2","Techncial")</f>
        <v>0</v>
      </c>
      <c r="AD27" s="98">
        <f>+GETPIVOTDATA("Sum of Old UG E-Learning",'Pivot Table for Fact Book'!$A$3,"State","AR","type",13,"type2","Techncial")</f>
        <v>0</v>
      </c>
      <c r="AE27" s="98">
        <f>+GETPIVOTDATA("Sum of New UG E-Learning",'Pivot Table for Fact Book'!$A$3,"State","AR","type",13,"type2","Techncial")</f>
        <v>0</v>
      </c>
      <c r="AF27" s="102">
        <f>+GETPIVOTDATA("Sum of Old UG E-Learning",'Pivot Table for Fact Book'!$A$3,"State","AR","type2","Techncial")</f>
        <v>0</v>
      </c>
      <c r="AG27" s="102">
        <f>+GETPIVOTDATA("Sum of New UG E-Learning",'Pivot Table for Fact Book'!$A$3,"State","AR","type2","Techncial")</f>
        <v>0</v>
      </c>
    </row>
    <row r="28" spans="1:33">
      <c r="A28" s="110" t="s">
        <v>620</v>
      </c>
      <c r="B28" s="97">
        <f>GETPIVOTDATA("Sum of Old UG E-Learning",'Pivot Table for Fact Book'!$A$3,"State","DE","type",1,"Type2","Four-Year")</f>
        <v>24983</v>
      </c>
      <c r="C28" s="98">
        <f>GETPIVOTDATA("Sum of New UG E-Learning",'Pivot Table for Fact Book'!$A$3,"State","DE","type",1,"Type2","Four-Year")</f>
        <v>305833</v>
      </c>
      <c r="D28" s="97">
        <f>GETPIVOTDATA("Sum of Old UG E-Learning",'Pivot Table for Fact Book'!$A$3,"State","DE","type",2,"Type2","Four-Year")</f>
        <v>0</v>
      </c>
      <c r="E28" s="98">
        <f>GETPIVOTDATA("Sum of New UG E-Learning",'Pivot Table for Fact Book'!$A$3,"State","DE","type",2,"Type2","Four-Year")</f>
        <v>0</v>
      </c>
      <c r="F28" s="97">
        <f>GETPIVOTDATA("Sum of Old UG E-Learning",'Pivot Table for Fact Book'!$A$3,"State","DE","type",3,"Type2","Four-Year")</f>
        <v>15157</v>
      </c>
      <c r="G28" s="98">
        <f>GETPIVOTDATA("Sum of New UG E-Learning",'Pivot Table for Fact Book'!$A$3,"State","DE","type",3,"Type2","Four-Year")</f>
        <v>27268</v>
      </c>
      <c r="H28" s="97">
        <f>GETPIVOTDATA("Sum of Old UG E-Learning",'Pivot Table for Fact Book'!$A$3,"State","DE","type",4,"Type2","Four-Year")</f>
        <v>0</v>
      </c>
      <c r="I28" s="98">
        <f>GETPIVOTDATA("Sum of New UG E-Learning",'Pivot Table for Fact Book'!$A$3,"State","DE","type",4,"Type2","Four-Year")</f>
        <v>0</v>
      </c>
      <c r="J28" s="97">
        <f>GETPIVOTDATA("Sum of Old UG E-Learning",'Pivot Table for Fact Book'!$A$3,"State","DE","type",5,"Type2","Four-Year")</f>
        <v>0</v>
      </c>
      <c r="K28" s="98">
        <f>GETPIVOTDATA("Sum of New UG E-Learning",'Pivot Table for Fact Book'!$A$3,"State","DE","type",5,"Type2","Four-Year")</f>
        <v>0</v>
      </c>
      <c r="L28" s="97">
        <f>GETPIVOTDATA("Sum of Old UG E-Learning",'Pivot Table for Fact Book'!$A$3,"State","DE","type",6,"Type2","Four-Year")</f>
        <v>0</v>
      </c>
      <c r="M28" s="98">
        <f>GETPIVOTDATA("Sum of New UG E-Learning",'Pivot Table for Fact Book'!$A$3,"State","DE","type",6,"Type2","Four-Year")</f>
        <v>0</v>
      </c>
      <c r="N28" s="97">
        <f>GETPIVOTDATA("Sum of Old UG E-Learning",'Pivot Table for Fact Book'!$A$3,"State","DE","type",15,"Type2","Four-Year")</f>
        <v>0</v>
      </c>
      <c r="O28" s="98">
        <f>GETPIVOTDATA("Sum of New UG E-Learning",'Pivot Table for Fact Book'!$A$3,"State","DE","type",15,"Type2","Four-Year")</f>
        <v>0</v>
      </c>
      <c r="P28" s="99">
        <f>GETPIVOTDATA("Sum of Old UG E-Learning",'Pivot Table for Fact Book'!$A$3,"State","DE","Type2","Four-Year")</f>
        <v>40140</v>
      </c>
      <c r="Q28" s="99">
        <f>GETPIVOTDATA("Sum of New UG E-Learning",'Pivot Table for Fact Book'!$A$3,"State","DE","Type2","Four-Year")</f>
        <v>333101</v>
      </c>
      <c r="R28" s="97">
        <f>GETPIVOTDATA("Sum of Old UG E-Learning",'Pivot Table for Fact Book'!$A$3,"State","DE","type",7,"Type2","Two-Year")</f>
        <v>0</v>
      </c>
      <c r="S28" s="98">
        <f>GETPIVOTDATA("Sum of New UG E-Learning",'Pivot Table for Fact Book'!$A$3,"State","DE","type",7,"Type2","Two-Year")</f>
        <v>0</v>
      </c>
      <c r="T28" s="98">
        <f>GETPIVOTDATA("Sum of Old UG E-Learning",'Pivot Table for Fact Book'!$A$3,"State","DE","type",8,"Type2","Two-Year")</f>
        <v>0</v>
      </c>
      <c r="U28" s="98">
        <f>GETPIVOTDATA("Sum of New UG E-Learning",'Pivot Table for Fact Book'!$A$3,"State","DE","type",8,"Type2","Two-Year")</f>
        <v>0</v>
      </c>
      <c r="V28" s="98">
        <f>GETPIVOTDATA("Sum of Old UG E-Learning",'Pivot Table for Fact Book'!$A$3,"State","DE","type",9,"Type2","Two-Year")</f>
        <v>54890</v>
      </c>
      <c r="W28" s="98">
        <f>GETPIVOTDATA("Sum of New UG E-Learning",'Pivot Table for Fact Book'!$A$3,"State","DE","type",9,"Type2","Two-Year")</f>
        <v>62047</v>
      </c>
      <c r="X28" s="98">
        <f>GETPIVOTDATA("Sum of Old UG E-Learning",'Pivot Table for Fact Book'!$A$3,"State","DE","type",10,"Type2","Two-Year")</f>
        <v>0</v>
      </c>
      <c r="Y28" s="98">
        <f>GETPIVOTDATA("Sum of New UG E-Learning",'Pivot Table for Fact Book'!$A$3,"State","DE","type",10,"Type2","Two-Year")</f>
        <v>0</v>
      </c>
      <c r="Z28" s="100">
        <f>GETPIVOTDATA("Sum of Old UG E-Learning",'Pivot Table for Fact Book'!$A$3,"State","DE","Type2","Two-Year")</f>
        <v>54890</v>
      </c>
      <c r="AA28" s="100">
        <f>GETPIVOTDATA("Sum of New UG E-Learning",'Pivot Table for Fact Book'!$A$3,"State","DE","Type2","Two-Year")</f>
        <v>62047</v>
      </c>
      <c r="AB28" s="97">
        <f>+GETPIVOTDATA("Sum of Old UG E-Learning",'Pivot Table for Fact Book'!$A$3,"State","DE","type",12,"type2","Techncial")</f>
        <v>0</v>
      </c>
      <c r="AC28" s="98">
        <f>+GETPIVOTDATA("Sum of New UG E-Learning",'Pivot Table for Fact Book'!$A$3,"State","DE","type",12,"type2","Techncial")</f>
        <v>0</v>
      </c>
      <c r="AD28" s="98">
        <f>+GETPIVOTDATA("Sum of Old UG E-Learning",'Pivot Table for Fact Book'!$A$3,"State","DE","type",13,"type2","Techncial")</f>
        <v>0</v>
      </c>
      <c r="AE28" s="98">
        <f>+GETPIVOTDATA("Sum of New UG E-Learning",'Pivot Table for Fact Book'!$A$3,"State","DE","type",13,"type2","Techncial")</f>
        <v>0</v>
      </c>
      <c r="AF28" s="102">
        <f>+GETPIVOTDATA("Sum of Old UG E-Learning",'Pivot Table for Fact Book'!$A$3,"State","DE","type2","Techncial")</f>
        <v>0</v>
      </c>
      <c r="AG28" s="102">
        <f>+GETPIVOTDATA("Sum of New UG E-Learning",'Pivot Table for Fact Book'!$A$3,"State","DE","type2","Techncial")</f>
        <v>0</v>
      </c>
    </row>
    <row r="29" spans="1:33">
      <c r="A29" s="110" t="s">
        <v>621</v>
      </c>
      <c r="B29" s="97">
        <f>GETPIVOTDATA("Sum of Old UG E-Learning",'Pivot Table for Fact Book'!$A$3,"State","FL","type",1,"Type2","Four-Year")</f>
        <v>0</v>
      </c>
      <c r="C29" s="98">
        <f>GETPIVOTDATA("Sum of New UG E-Learning",'Pivot Table for Fact Book'!$A$3,"State","FL","type",1,"Type2","Four-Year")</f>
        <v>0</v>
      </c>
      <c r="D29" s="97">
        <f>GETPIVOTDATA("Sum of Old UG E-Learning",'Pivot Table for Fact Book'!$A$3,"State","FL","type",2,"Type2","Four-Year")</f>
        <v>0</v>
      </c>
      <c r="E29" s="98">
        <f>GETPIVOTDATA("Sum of New UG E-Learning",'Pivot Table for Fact Book'!$A$3,"State","FL","type",2,"Type2","Four-Year")</f>
        <v>0</v>
      </c>
      <c r="F29" s="97">
        <f>GETPIVOTDATA("Sum of Old UG E-Learning",'Pivot Table for Fact Book'!$A$3,"State","FL","type",3,"Type2","Four-Year")</f>
        <v>0</v>
      </c>
      <c r="G29" s="98">
        <f>GETPIVOTDATA("Sum of New UG E-Learning",'Pivot Table for Fact Book'!$A$3,"State","FL","type",3,"Type2","Four-Year")</f>
        <v>0</v>
      </c>
      <c r="H29" s="97">
        <f>GETPIVOTDATA("Sum of Old UG E-Learning",'Pivot Table for Fact Book'!$A$3,"State","FL","type",4,"Type2","Four-Year")</f>
        <v>0</v>
      </c>
      <c r="I29" s="98">
        <f>GETPIVOTDATA("Sum of New UG E-Learning",'Pivot Table for Fact Book'!$A$3,"State","FL","type",4,"Type2","Four-Year")</f>
        <v>0</v>
      </c>
      <c r="J29" s="97">
        <f>GETPIVOTDATA("Sum of Old UG E-Learning",'Pivot Table for Fact Book'!$A$3,"State","FL","type",5,"Type2","Four-Year")</f>
        <v>0</v>
      </c>
      <c r="K29" s="98">
        <f>GETPIVOTDATA("Sum of New UG E-Learning",'Pivot Table for Fact Book'!$A$3,"State","FL","type",5,"Type2","Four-Year")</f>
        <v>0</v>
      </c>
      <c r="L29" s="97">
        <f>GETPIVOTDATA("Sum of Old UG E-Learning",'Pivot Table for Fact Book'!$A$3,"State","FL","type",6,"Type2","Four-Year")</f>
        <v>0</v>
      </c>
      <c r="M29" s="98">
        <f>GETPIVOTDATA("Sum of New UG E-Learning",'Pivot Table for Fact Book'!$A$3,"State","FL","type",6,"Type2","Four-Year")</f>
        <v>0</v>
      </c>
      <c r="N29" s="97">
        <f>GETPIVOTDATA("Sum of Old UG E-Learning",'Pivot Table for Fact Book'!$A$3,"State","FL","type",15,"Type2","Four-Year")</f>
        <v>0</v>
      </c>
      <c r="O29" s="98">
        <f>GETPIVOTDATA("Sum of New UG E-Learning",'Pivot Table for Fact Book'!$A$3,"State","FL","type",15,"Type2","Four-Year")</f>
        <v>0</v>
      </c>
      <c r="P29" s="99">
        <f>GETPIVOTDATA("Sum of Old UG E-Learning",'Pivot Table for Fact Book'!$A$3,"State","FL","Type2","Four-Year")</f>
        <v>0</v>
      </c>
      <c r="Q29" s="99">
        <f>GETPIVOTDATA("Sum of New UG E-Learning",'Pivot Table for Fact Book'!$A$3,"State","FL","Type2","Four-Year")</f>
        <v>0</v>
      </c>
      <c r="R29" s="97">
        <f>GETPIVOTDATA("Sum of Old UG E-Learning",'Pivot Table for Fact Book'!$A$3,"State","FL","type",7,"Type2","Two-Year")</f>
        <v>2416129</v>
      </c>
      <c r="S29" s="98">
        <f>GETPIVOTDATA("Sum of New UG E-Learning",'Pivot Table for Fact Book'!$A$3,"State","FL","type",7,"Type2","Two-Year")</f>
        <v>4832411</v>
      </c>
      <c r="T29" s="98">
        <f>GETPIVOTDATA("Sum of Old UG E-Learning",'Pivot Table for Fact Book'!$A$3,"State","FL","type",8,"Type2","Two-Year")</f>
        <v>291456</v>
      </c>
      <c r="U29" s="98">
        <f>GETPIVOTDATA("Sum of New UG E-Learning",'Pivot Table for Fact Book'!$A$3,"State","FL","type",8,"Type2","Two-Year")</f>
        <v>521344</v>
      </c>
      <c r="V29" s="98">
        <f>GETPIVOTDATA("Sum of Old UG E-Learning",'Pivot Table for Fact Book'!$A$3,"State","FL","type",9,"Type2","Two-Year")</f>
        <v>0</v>
      </c>
      <c r="W29" s="98">
        <f>GETPIVOTDATA("Sum of New UG E-Learning",'Pivot Table for Fact Book'!$A$3,"State","FL","type",9,"Type2","Two-Year")</f>
        <v>0</v>
      </c>
      <c r="X29" s="98">
        <f>GETPIVOTDATA("Sum of Old UG E-Learning",'Pivot Table for Fact Book'!$A$3,"State","FL","type",10,"Type2","Two-Year")</f>
        <v>14921</v>
      </c>
      <c r="Y29" s="98">
        <f>GETPIVOTDATA("Sum of New UG E-Learning",'Pivot Table for Fact Book'!$A$3,"State","FL","type",10,"Type2","Two-Year")</f>
        <v>24348</v>
      </c>
      <c r="Z29" s="100">
        <f>GETPIVOTDATA("Sum of Old UG E-Learning",'Pivot Table for Fact Book'!$A$3,"State","FL","Type2","Two-Year")</f>
        <v>2722506</v>
      </c>
      <c r="AA29" s="100">
        <f>GETPIVOTDATA("Sum of New UG E-Learning",'Pivot Table for Fact Book'!$A$3,"State","FL","Type2","Two-Year")</f>
        <v>5378103</v>
      </c>
      <c r="AB29" s="97">
        <f>+GETPIVOTDATA("Sum of Old UG E-Learning",'Pivot Table for Fact Book'!$A$3,"State","FL","type",12,"type2","Techncial")</f>
        <v>0</v>
      </c>
      <c r="AC29" s="98">
        <f>+GETPIVOTDATA("Sum of New UG E-Learning",'Pivot Table for Fact Book'!$A$3,"State","FL","type",12,"type2","Techncial")</f>
        <v>0</v>
      </c>
      <c r="AD29" s="98">
        <f>+GETPIVOTDATA("Sum of Old UG E-Learning",'Pivot Table for Fact Book'!$A$3,"State","FL","type",13,"type2","Techncial")</f>
        <v>0</v>
      </c>
      <c r="AE29" s="98">
        <f>+GETPIVOTDATA("Sum of New UG E-Learning",'Pivot Table for Fact Book'!$A$3,"State","FL","type",13,"type2","Techncial")</f>
        <v>0</v>
      </c>
      <c r="AF29" s="102">
        <f>+GETPIVOTDATA("Sum of Old UG E-Learning",'Pivot Table for Fact Book'!$A$3,"State","FL","type2","Techncial")</f>
        <v>0</v>
      </c>
      <c r="AG29" s="102">
        <f>+GETPIVOTDATA("Sum of New UG E-Learning",'Pivot Table for Fact Book'!$A$3,"State","FL","type2","Techncial")</f>
        <v>0</v>
      </c>
    </row>
    <row r="30" spans="1:33">
      <c r="A30" s="110" t="s">
        <v>622</v>
      </c>
      <c r="B30" s="97">
        <f>GETPIVOTDATA("Sum of Old UG E-Learning",'Pivot Table for Fact Book'!$A$3,"State","GA","type",1,"Type2","Four-Year")</f>
        <v>287891</v>
      </c>
      <c r="C30" s="98">
        <f>GETPIVOTDATA("Sum of New UG E-Learning",'Pivot Table for Fact Book'!$A$3,"State","GA","type",1,"Type2","Four-Year")</f>
        <v>857281</v>
      </c>
      <c r="D30" s="97">
        <f>GETPIVOTDATA("Sum of Old UG E-Learning",'Pivot Table for Fact Book'!$A$3,"State","GA","type",2,"Type2","Four-Year")</f>
        <v>11076</v>
      </c>
      <c r="E30" s="98">
        <f>GETPIVOTDATA("Sum of New UG E-Learning",'Pivot Table for Fact Book'!$A$3,"State","GA","type",2,"Type2","Four-Year")</f>
        <v>274488</v>
      </c>
      <c r="F30" s="97">
        <f>GETPIVOTDATA("Sum of Old UG E-Learning",'Pivot Table for Fact Book'!$A$3,"State","GA","type",3,"Type2","Four-Year")</f>
        <v>589758</v>
      </c>
      <c r="G30" s="98">
        <f>GETPIVOTDATA("Sum of New UG E-Learning",'Pivot Table for Fact Book'!$A$3,"State","GA","type",3,"Type2","Four-Year")</f>
        <v>1049946</v>
      </c>
      <c r="H30" s="97">
        <f>GETPIVOTDATA("Sum of Old UG E-Learning",'Pivot Table for Fact Book'!$A$3,"State","GA","type",4,"Type2","Four-Year")</f>
        <v>281563</v>
      </c>
      <c r="I30" s="98">
        <f>GETPIVOTDATA("Sum of New UG E-Learning",'Pivot Table for Fact Book'!$A$3,"State","GA","type",4,"Type2","Four-Year")</f>
        <v>526811</v>
      </c>
      <c r="J30" s="97">
        <f>GETPIVOTDATA("Sum of Old UG E-Learning",'Pivot Table for Fact Book'!$A$3,"State","GA","type",5,"Type2","Four-Year")</f>
        <v>111758</v>
      </c>
      <c r="K30" s="98">
        <f>GETPIVOTDATA("Sum of New UG E-Learning",'Pivot Table for Fact Book'!$A$3,"State","GA","type",5,"Type2","Four-Year")</f>
        <v>167798</v>
      </c>
      <c r="L30" s="97">
        <f>GETPIVOTDATA("Sum of Old UG E-Learning",'Pivot Table for Fact Book'!$A$3,"State","GA","type",6,"Type2","Four-Year")</f>
        <v>79564</v>
      </c>
      <c r="M30" s="98">
        <f>GETPIVOTDATA("Sum of New UG E-Learning",'Pivot Table for Fact Book'!$A$3,"State","GA","type",6,"Type2","Four-Year")</f>
        <v>249310</v>
      </c>
      <c r="N30" s="97">
        <f>GETPIVOTDATA("Sum of Old UG E-Learning",'Pivot Table for Fact Book'!$A$3,"State","GA","type",15,"Type2","Four-Year")</f>
        <v>0</v>
      </c>
      <c r="O30" s="98">
        <f>GETPIVOTDATA("Sum of New UG E-Learning",'Pivot Table for Fact Book'!$A$3,"State","GA","type",15,"Type2","Four-Year")</f>
        <v>0</v>
      </c>
      <c r="P30" s="99">
        <f>GETPIVOTDATA("Sum of Old UG E-Learning",'Pivot Table for Fact Book'!$A$3,"State","GA","Type2","Four-Year")</f>
        <v>1361610</v>
      </c>
      <c r="Q30" s="99">
        <f>GETPIVOTDATA("Sum of New UG E-Learning",'Pivot Table for Fact Book'!$A$3,"State","GA","Type2","Four-Year")</f>
        <v>3125634</v>
      </c>
      <c r="R30" s="97">
        <f>GETPIVOTDATA("Sum of Old UG E-Learning",'Pivot Table for Fact Book'!$A$3,"State","GA","type",7,"Type2","Two-Year")</f>
        <v>88420</v>
      </c>
      <c r="S30" s="98">
        <f>GETPIVOTDATA("Sum of New UG E-Learning",'Pivot Table for Fact Book'!$A$3,"State","GA","type",7,"Type2","Two-Year")</f>
        <v>144634</v>
      </c>
      <c r="T30" s="98">
        <f>GETPIVOTDATA("Sum of Old UG E-Learning",'Pivot Table for Fact Book'!$A$3,"State","GA","type",8,"Type2","Two-Year")</f>
        <v>0</v>
      </c>
      <c r="U30" s="98">
        <f>GETPIVOTDATA("Sum of New UG E-Learning",'Pivot Table for Fact Book'!$A$3,"State","GA","type",8,"Type2","Two-Year")</f>
        <v>0</v>
      </c>
      <c r="V30" s="98">
        <f>GETPIVOTDATA("Sum of Old UG E-Learning",'Pivot Table for Fact Book'!$A$3,"State","GA","type",9,"Type2","Two-Year")</f>
        <v>0</v>
      </c>
      <c r="W30" s="98">
        <f>GETPIVOTDATA("Sum of New UG E-Learning",'Pivot Table for Fact Book'!$A$3,"State","GA","type",9,"Type2","Two-Year")</f>
        <v>0</v>
      </c>
      <c r="X30" s="98">
        <f>GETPIVOTDATA("Sum of Old UG E-Learning",'Pivot Table for Fact Book'!$A$3,"State","GA","type",10,"Type2","Two-Year")</f>
        <v>0</v>
      </c>
      <c r="Y30" s="98">
        <f>GETPIVOTDATA("Sum of New UG E-Learning",'Pivot Table for Fact Book'!$A$3,"State","GA","type",10,"Type2","Two-Year")</f>
        <v>0</v>
      </c>
      <c r="Z30" s="100">
        <f>GETPIVOTDATA("Sum of Old UG E-Learning",'Pivot Table for Fact Book'!$A$3,"State","GA","Type2","Two-Year")</f>
        <v>88420</v>
      </c>
      <c r="AA30" s="100">
        <f>GETPIVOTDATA("Sum of New UG E-Learning",'Pivot Table for Fact Book'!$A$3,"State","GA","Type2","Two-Year")</f>
        <v>144634</v>
      </c>
      <c r="AB30" s="97">
        <f>+GETPIVOTDATA("Sum of Old UG E-Learning",'Pivot Table for Fact Book'!$A$3,"State","GA","type",12,"type2","Techncial")</f>
        <v>789151.5</v>
      </c>
      <c r="AC30" s="98">
        <f>+GETPIVOTDATA("Sum of New UG E-Learning",'Pivot Table for Fact Book'!$A$3,"State","GA","type",12,"type2","Techncial")</f>
        <v>1090357</v>
      </c>
      <c r="AD30" s="98">
        <f>+GETPIVOTDATA("Sum of Old UG E-Learning",'Pivot Table for Fact Book'!$A$3,"State","GA","type",13,"type2","Techncial")</f>
        <v>0</v>
      </c>
      <c r="AE30" s="98">
        <f>+GETPIVOTDATA("Sum of New UG E-Learning",'Pivot Table for Fact Book'!$A$3,"State","GA","type",13,"type2","Techncial")</f>
        <v>0</v>
      </c>
      <c r="AF30" s="102">
        <f>+GETPIVOTDATA("Sum of Old UG E-Learning",'Pivot Table for Fact Book'!$A$3,"State","GA","type2","Techncial")</f>
        <v>789151.5</v>
      </c>
      <c r="AG30" s="102">
        <f>+GETPIVOTDATA("Sum of New UG E-Learning",'Pivot Table for Fact Book'!$A$3,"State","GA","type2","Techncial")</f>
        <v>1090357</v>
      </c>
    </row>
    <row r="31" spans="1:33">
      <c r="A31" s="110" t="s">
        <v>623</v>
      </c>
      <c r="B31" s="97">
        <f>GETPIVOTDATA("Sum of Old UG E-Learning",'Pivot Table for Fact Book'!$A$3,"State","KY","type",1,"Type2","Four-Year")</f>
        <v>124082</v>
      </c>
      <c r="C31" s="98">
        <f>GETPIVOTDATA("Sum of New UG E-Learning",'Pivot Table for Fact Book'!$A$3,"State","KY","type",1,"Type2","Four-Year")</f>
        <v>390743</v>
      </c>
      <c r="D31" s="97">
        <f>GETPIVOTDATA("Sum of Old UG E-Learning",'Pivot Table for Fact Book'!$A$3,"State","KY","type",2,"Type2","Four-Year")</f>
        <v>0</v>
      </c>
      <c r="E31" s="98">
        <f>GETPIVOTDATA("Sum of New UG E-Learning",'Pivot Table for Fact Book'!$A$3,"State","KY","type",2,"Type2","Four-Year")</f>
        <v>0</v>
      </c>
      <c r="F31" s="97">
        <f>GETPIVOTDATA("Sum of Old UG E-Learning",'Pivot Table for Fact Book'!$A$3,"State","KY","type",3,"Type2","Four-Year")</f>
        <v>338293</v>
      </c>
      <c r="G31" s="98">
        <f>GETPIVOTDATA("Sum of New UG E-Learning",'Pivot Table for Fact Book'!$A$3,"State","KY","type",3,"Type2","Four-Year")</f>
        <v>516956</v>
      </c>
      <c r="H31" s="97">
        <f>GETPIVOTDATA("Sum of Old UG E-Learning",'Pivot Table for Fact Book'!$A$3,"State","KY","type",4,"Type2","Four-Year")</f>
        <v>15844</v>
      </c>
      <c r="I31" s="98">
        <f>GETPIVOTDATA("Sum of New UG E-Learning",'Pivot Table for Fact Book'!$A$3,"State","KY","type",4,"Type2","Four-Year")</f>
        <v>18791</v>
      </c>
      <c r="J31" s="97">
        <f>GETPIVOTDATA("Sum of Old UG E-Learning",'Pivot Table for Fact Book'!$A$3,"State","KY","type",5,"Type2","Four-Year")</f>
        <v>0</v>
      </c>
      <c r="K31" s="98">
        <f>GETPIVOTDATA("Sum of New UG E-Learning",'Pivot Table for Fact Book'!$A$3,"State","KY","type",5,"Type2","Four-Year")</f>
        <v>0</v>
      </c>
      <c r="L31" s="97">
        <f>GETPIVOTDATA("Sum of Old UG E-Learning",'Pivot Table for Fact Book'!$A$3,"State","KY","type",6,"Type2","Four-Year")</f>
        <v>0</v>
      </c>
      <c r="M31" s="98">
        <f>GETPIVOTDATA("Sum of New UG E-Learning",'Pivot Table for Fact Book'!$A$3,"State","KY","type",6,"Type2","Four-Year")</f>
        <v>0</v>
      </c>
      <c r="N31" s="97">
        <f>GETPIVOTDATA("Sum of Old UG E-Learning",'Pivot Table for Fact Book'!$A$3,"State","KY","type",15,"Type2","Four-Year")</f>
        <v>0</v>
      </c>
      <c r="O31" s="98">
        <f>GETPIVOTDATA("Sum of New UG E-Learning",'Pivot Table for Fact Book'!$A$3,"State","KY","type",15,"Type2","Four-Year")</f>
        <v>0</v>
      </c>
      <c r="P31" s="99">
        <f>GETPIVOTDATA("Sum of Old UG E-Learning",'Pivot Table for Fact Book'!$A$3,"State","KY","Type2","Four-Year")</f>
        <v>478219</v>
      </c>
      <c r="Q31" s="99">
        <f>GETPIVOTDATA("Sum of New UG E-Learning",'Pivot Table for Fact Book'!$A$3,"State","KY","Type2","Four-Year")</f>
        <v>926490</v>
      </c>
      <c r="R31" s="97">
        <f>GETPIVOTDATA("Sum of Old UG E-Learning",'Pivot Table for Fact Book'!$A$3,"State","KY","type",7,"Type2","Two-Year")</f>
        <v>0</v>
      </c>
      <c r="S31" s="98">
        <f>GETPIVOTDATA("Sum of New UG E-Learning",'Pivot Table for Fact Book'!$A$3,"State","KY","type",7,"Type2","Two-Year")</f>
        <v>0</v>
      </c>
      <c r="T31" s="98">
        <f>GETPIVOTDATA("Sum of Old UG E-Learning",'Pivot Table for Fact Book'!$A$3,"State","KY","type",8,"Type2","Two-Year")</f>
        <v>137332</v>
      </c>
      <c r="U31" s="98">
        <f>GETPIVOTDATA("Sum of New UG E-Learning",'Pivot Table for Fact Book'!$A$3,"State","KY","type",8,"Type2","Two-Year")</f>
        <v>182379</v>
      </c>
      <c r="V31" s="98">
        <f>GETPIVOTDATA("Sum of Old UG E-Learning",'Pivot Table for Fact Book'!$A$3,"State","KY","type",9,"Type2","Two-Year")</f>
        <v>182651.1</v>
      </c>
      <c r="W31" s="98">
        <f>GETPIVOTDATA("Sum of New UG E-Learning",'Pivot Table for Fact Book'!$A$3,"State","KY","type",9,"Type2","Two-Year")</f>
        <v>251371</v>
      </c>
      <c r="X31" s="98">
        <f>GETPIVOTDATA("Sum of Old UG E-Learning",'Pivot Table for Fact Book'!$A$3,"State","KY","type",10,"Type2","Two-Year")</f>
        <v>193135.8</v>
      </c>
      <c r="Y31" s="98">
        <f>GETPIVOTDATA("Sum of New UG E-Learning",'Pivot Table for Fact Book'!$A$3,"State","KY","type",10,"Type2","Two-Year")</f>
        <v>145446</v>
      </c>
      <c r="Z31" s="100">
        <f>GETPIVOTDATA("Sum of Old UG E-Learning",'Pivot Table for Fact Book'!$A$3,"State","KY","Type2","Two-Year")</f>
        <v>513118.89999999997</v>
      </c>
      <c r="AA31" s="100">
        <f>GETPIVOTDATA("Sum of New UG E-Learning",'Pivot Table for Fact Book'!$A$3,"State","KY","Type2","Two-Year")</f>
        <v>579196</v>
      </c>
      <c r="AB31" s="97">
        <f>+GETPIVOTDATA("Sum of Old UG E-Learning",'Pivot Table for Fact Book'!$A$3,"State","KY","type",12,"type2","Techncial")</f>
        <v>51906</v>
      </c>
      <c r="AC31" s="98">
        <f>+GETPIVOTDATA("Sum of New UG E-Learning",'Pivot Table for Fact Book'!$A$3,"State","KY","type",12,"type2","Techncial")</f>
        <v>65903</v>
      </c>
      <c r="AD31" s="98">
        <f>+GETPIVOTDATA("Sum of Old UG E-Learning",'Pivot Table for Fact Book'!$A$3,"State","KY","type",13,"type2","Techncial")</f>
        <v>0</v>
      </c>
      <c r="AE31" s="98">
        <f>+GETPIVOTDATA("Sum of New UG E-Learning",'Pivot Table for Fact Book'!$A$3,"State","KY","type",13,"type2","Techncial")</f>
        <v>0</v>
      </c>
      <c r="AF31" s="102">
        <f>+GETPIVOTDATA("Sum of Old UG E-Learning",'Pivot Table for Fact Book'!$A$3,"State","KY","type2","Techncial")</f>
        <v>51906</v>
      </c>
      <c r="AG31" s="102">
        <f>+GETPIVOTDATA("Sum of New UG E-Learning",'Pivot Table for Fact Book'!$A$3,"State","KY","type2","Techncial")</f>
        <v>65903</v>
      </c>
    </row>
    <row r="32" spans="1:33">
      <c r="A32" s="110" t="s">
        <v>624</v>
      </c>
      <c r="B32" s="97">
        <f>GETPIVOTDATA("Sum of Old UG E-Learning",'Pivot Table for Fact Book'!$A$3,"State","LA","type",1,"Type2","Four-Year")</f>
        <v>32239.3935815148</v>
      </c>
      <c r="C32" s="98">
        <f>GETPIVOTDATA("Sum of New UG E-Learning",'Pivot Table for Fact Book'!$A$3,"State","LA","type",1,"Type2","Four-Year")</f>
        <v>244279.40988299699</v>
      </c>
      <c r="D32" s="97">
        <f>GETPIVOTDATA("Sum of Old UG E-Learning",'Pivot Table for Fact Book'!$A$3,"State","LA","type",2,"Type2","Four-Year")</f>
        <v>114972.1198773135</v>
      </c>
      <c r="E32" s="98">
        <f>GETPIVOTDATA("Sum of New UG E-Learning",'Pivot Table for Fact Book'!$A$3,"State","LA","type",2,"Type2","Four-Year")</f>
        <v>222425.97434551641</v>
      </c>
      <c r="F32" s="97">
        <f>GETPIVOTDATA("Sum of Old UG E-Learning",'Pivot Table for Fact Book'!$A$3,"State","LA","type",3,"Type2","Four-Year")</f>
        <v>169249.91522992618</v>
      </c>
      <c r="G32" s="98">
        <f>GETPIVOTDATA("Sum of New UG E-Learning",'Pivot Table for Fact Book'!$A$3,"State","LA","type",3,"Type2","Four-Year")</f>
        <v>335432.53971201892</v>
      </c>
      <c r="H32" s="97">
        <f>GETPIVOTDATA("Sum of Old UG E-Learning",'Pivot Table for Fact Book'!$A$3,"State","LA","type",4,"Type2","Four-Year")</f>
        <v>165778.61119046458</v>
      </c>
      <c r="I32" s="98">
        <f>GETPIVOTDATA("Sum of New UG E-Learning",'Pivot Table for Fact Book'!$A$3,"State","LA","type",4,"Type2","Four-Year")</f>
        <v>287338.20759294071</v>
      </c>
      <c r="J32" s="97">
        <f>GETPIVOTDATA("Sum of Old UG E-Learning",'Pivot Table for Fact Book'!$A$3,"State","LA","type",5,"Type2","Four-Year")</f>
        <v>14010.8125</v>
      </c>
      <c r="K32" s="98">
        <f>GETPIVOTDATA("Sum of New UG E-Learning",'Pivot Table for Fact Book'!$A$3,"State","LA","type",5,"Type2","Four-Year")</f>
        <v>41596</v>
      </c>
      <c r="L32" s="97">
        <f>GETPIVOTDATA("Sum of Old UG E-Learning",'Pivot Table for Fact Book'!$A$3,"State","LA","type",6,"Type2","Four-Year")</f>
        <v>31302.9666430092</v>
      </c>
      <c r="M32" s="98">
        <f>GETPIVOTDATA("Sum of New UG E-Learning",'Pivot Table for Fact Book'!$A$3,"State","LA","type",6,"Type2","Four-Year")</f>
        <v>39002.3908045977</v>
      </c>
      <c r="N32" s="97">
        <f>GETPIVOTDATA("Sum of Old UG E-Learning",'Pivot Table for Fact Book'!$A$3,"State","LA","type",15,"Type2","Four-Year")</f>
        <v>0</v>
      </c>
      <c r="O32" s="98">
        <f>GETPIVOTDATA("Sum of New UG E-Learning",'Pivot Table for Fact Book'!$A$3,"State","LA","type",15,"Type2","Four-Year")</f>
        <v>0</v>
      </c>
      <c r="P32" s="99">
        <f>GETPIVOTDATA("Sum of Old UG E-Learning",'Pivot Table for Fact Book'!$A$3,"State","LA","Type2","Four-Year")</f>
        <v>527553.81902222824</v>
      </c>
      <c r="Q32" s="99">
        <f>GETPIVOTDATA("Sum of New UG E-Learning",'Pivot Table for Fact Book'!$A$3,"State","LA","Type2","Four-Year")</f>
        <v>1170074.5223380707</v>
      </c>
      <c r="R32" s="97">
        <f>GETPIVOTDATA("Sum of Old UG E-Learning",'Pivot Table for Fact Book'!$A$3,"State","LA","type",7,"Type2","Two-Year")</f>
        <v>0</v>
      </c>
      <c r="S32" s="98">
        <f>GETPIVOTDATA("Sum of New UG E-Learning",'Pivot Table for Fact Book'!$A$3,"State","LA","type",7,"Type2","Two-Year")</f>
        <v>0</v>
      </c>
      <c r="T32" s="98">
        <f>GETPIVOTDATA("Sum of Old UG E-Learning",'Pivot Table for Fact Book'!$A$3,"State","LA","type",8,"Type2","Two-Year")</f>
        <v>92750.940262199903</v>
      </c>
      <c r="U32" s="98">
        <f>GETPIVOTDATA("Sum of New UG E-Learning",'Pivot Table for Fact Book'!$A$3,"State","LA","type",8,"Type2","Two-Year")</f>
        <v>240471.1560552216</v>
      </c>
      <c r="V32" s="98">
        <f>GETPIVOTDATA("Sum of Old UG E-Learning",'Pivot Table for Fact Book'!$A$3,"State","LA","type",9,"Type2","Two-Year")</f>
        <v>145808.45253028689</v>
      </c>
      <c r="W32" s="98">
        <f>GETPIVOTDATA("Sum of New UG E-Learning",'Pivot Table for Fact Book'!$A$3,"State","LA","type",9,"Type2","Two-Year")</f>
        <v>228954.14050504399</v>
      </c>
      <c r="X32" s="98">
        <f>GETPIVOTDATA("Sum of Old UG E-Learning",'Pivot Table for Fact Book'!$A$3,"State","LA","type",10,"Type2","Two-Year")</f>
        <v>27268.262601434202</v>
      </c>
      <c r="Y32" s="98">
        <f>GETPIVOTDATA("Sum of New UG E-Learning",'Pivot Table for Fact Book'!$A$3,"State","LA","type",10,"Type2","Two-Year")</f>
        <v>47208.8405226588</v>
      </c>
      <c r="Z32" s="100">
        <f>GETPIVOTDATA("Sum of Old UG E-Learning",'Pivot Table for Fact Book'!$A$3,"State","LA","Type2","Two-Year")</f>
        <v>265827.65539392101</v>
      </c>
      <c r="AA32" s="100">
        <f>GETPIVOTDATA("Sum of New UG E-Learning",'Pivot Table for Fact Book'!$A$3,"State","LA","Type2","Two-Year")</f>
        <v>516634.13708292437</v>
      </c>
      <c r="AB32" s="97">
        <f>+GETPIVOTDATA("Sum of Old UG E-Learning",'Pivot Table for Fact Book'!$A$3,"State","LA","type",12,"type2","Techncial")</f>
        <v>52180.760199255834</v>
      </c>
      <c r="AC32" s="98">
        <f>+GETPIVOTDATA("Sum of New UG E-Learning",'Pivot Table for Fact Book'!$A$3,"State","LA","type",12,"type2","Techncial")</f>
        <v>68705.088199322898</v>
      </c>
      <c r="AD32" s="98">
        <f>+GETPIVOTDATA("Sum of Old UG E-Learning",'Pivot Table for Fact Book'!$A$3,"State","LA","type",13,"type2","Techncial")</f>
        <v>149.502024291498</v>
      </c>
      <c r="AE32" s="98">
        <f>+GETPIVOTDATA("Sum of New UG E-Learning",'Pivot Table for Fact Book'!$A$3,"State","LA","type",13,"type2","Techncial")</f>
        <v>1964.8940397351</v>
      </c>
      <c r="AF32" s="102">
        <f>+GETPIVOTDATA("Sum of Old UG E-Learning",'Pivot Table for Fact Book'!$A$3,"State","LA","type2","Techncial")</f>
        <v>52330.262223547332</v>
      </c>
      <c r="AG32" s="102">
        <f>+GETPIVOTDATA("Sum of New UG E-Learning",'Pivot Table for Fact Book'!$A$3,"State","LA","type2","Techncial")</f>
        <v>70669.982239057994</v>
      </c>
    </row>
    <row r="33" spans="1:33">
      <c r="A33" s="110" t="s">
        <v>625</v>
      </c>
      <c r="B33" s="97">
        <f>GETPIVOTDATA("Sum of Old UG E-Learning",'Pivot Table for Fact Book'!$A$3,"State","MD","type",1,"Type2","Four-Year")</f>
        <v>48326</v>
      </c>
      <c r="C33" s="98">
        <f>GETPIVOTDATA("Sum of New UG E-Learning",'Pivot Table for Fact Book'!$A$3,"State","MD","type",1,"Type2","Four-Year")</f>
        <v>439834</v>
      </c>
      <c r="D33" s="97">
        <f>GETPIVOTDATA("Sum of Old UG E-Learning",'Pivot Table for Fact Book'!$A$3,"State","MD","type",2,"Type2","Four-Year")</f>
        <v>66245</v>
      </c>
      <c r="E33" s="98">
        <f>GETPIVOTDATA("Sum of New UG E-Learning",'Pivot Table for Fact Book'!$A$3,"State","MD","type",2,"Type2","Four-Year")</f>
        <v>225845.5</v>
      </c>
      <c r="F33" s="97">
        <f>GETPIVOTDATA("Sum of Old UG E-Learning",'Pivot Table for Fact Book'!$A$3,"State","MD","type",3,"Type2","Four-Year")</f>
        <v>81730</v>
      </c>
      <c r="G33" s="98">
        <f>GETPIVOTDATA("Sum of New UG E-Learning",'Pivot Table for Fact Book'!$A$3,"State","MD","type",3,"Type2","Four-Year")</f>
        <v>263448</v>
      </c>
      <c r="H33" s="97">
        <f>GETPIVOTDATA("Sum of Old UG E-Learning",'Pivot Table for Fact Book'!$A$3,"State","MD","type",4,"Type2","Four-Year")</f>
        <v>102422</v>
      </c>
      <c r="I33" s="98">
        <f>GETPIVOTDATA("Sum of New UG E-Learning",'Pivot Table for Fact Book'!$A$3,"State","MD","type",4,"Type2","Four-Year")</f>
        <v>263724.5</v>
      </c>
      <c r="J33" s="97">
        <f>GETPIVOTDATA("Sum of Old UG E-Learning",'Pivot Table for Fact Book'!$A$3,"State","MD","type",5,"Type2","Four-Year")</f>
        <v>12184</v>
      </c>
      <c r="K33" s="98">
        <f>GETPIVOTDATA("Sum of New UG E-Learning",'Pivot Table for Fact Book'!$A$3,"State","MD","type",5,"Type2","Four-Year")</f>
        <v>14126</v>
      </c>
      <c r="L33" s="97">
        <f>GETPIVOTDATA("Sum of Old UG E-Learning",'Pivot Table for Fact Book'!$A$3,"State","MD","type",6,"Type2","Four-Year")</f>
        <v>232</v>
      </c>
      <c r="M33" s="98">
        <f>GETPIVOTDATA("Sum of New UG E-Learning",'Pivot Table for Fact Book'!$A$3,"State","MD","type",6,"Type2","Four-Year")</f>
        <v>10473</v>
      </c>
      <c r="N33" s="97">
        <f>GETPIVOTDATA("Sum of Old UG E-Learning",'Pivot Table for Fact Book'!$A$3,"State","MD","type",15,"Type2","Four-Year")</f>
        <v>779478.5</v>
      </c>
      <c r="O33" s="98">
        <f>GETPIVOTDATA("Sum of New UG E-Learning",'Pivot Table for Fact Book'!$A$3,"State","MD","type",15,"Type2","Four-Year")</f>
        <v>843051</v>
      </c>
      <c r="P33" s="99">
        <f>GETPIVOTDATA("Sum of Old UG E-Learning",'Pivot Table for Fact Book'!$A$3,"State","MD","Type2","Four-Year")</f>
        <v>1090617.5</v>
      </c>
      <c r="Q33" s="99">
        <f>GETPIVOTDATA("Sum of New UG E-Learning",'Pivot Table for Fact Book'!$A$3,"State","MD","Type2","Four-Year")</f>
        <v>2060502</v>
      </c>
      <c r="R33" s="97">
        <f>GETPIVOTDATA("Sum of Old UG E-Learning",'Pivot Table for Fact Book'!$A$3,"State","MD","type",7,"Type2","Two-Year")</f>
        <v>0</v>
      </c>
      <c r="S33" s="98">
        <f>GETPIVOTDATA("Sum of New UG E-Learning",'Pivot Table for Fact Book'!$A$3,"State","MD","type",7,"Type2","Two-Year")</f>
        <v>0</v>
      </c>
      <c r="T33" s="98">
        <f>GETPIVOTDATA("Sum of Old UG E-Learning",'Pivot Table for Fact Book'!$A$3,"State","MD","type",8,"Type2","Two-Year")</f>
        <v>318610.7</v>
      </c>
      <c r="U33" s="98">
        <f>GETPIVOTDATA("Sum of New UG E-Learning",'Pivot Table for Fact Book'!$A$3,"State","MD","type",8,"Type2","Two-Year")</f>
        <v>1133536</v>
      </c>
      <c r="V33" s="98">
        <f>GETPIVOTDATA("Sum of Old UG E-Learning",'Pivot Table for Fact Book'!$A$3,"State","MD","type",9,"Type2","Two-Year")</f>
        <v>168329</v>
      </c>
      <c r="W33" s="98">
        <f>GETPIVOTDATA("Sum of New UG E-Learning",'Pivot Table for Fact Book'!$A$3,"State","MD","type",9,"Type2","Two-Year")</f>
        <v>315118.5</v>
      </c>
      <c r="X33" s="98">
        <f>GETPIVOTDATA("Sum of Old UG E-Learning",'Pivot Table for Fact Book'!$A$3,"State","MD","type",10,"Type2","Two-Year")</f>
        <v>50671</v>
      </c>
      <c r="Y33" s="98">
        <f>GETPIVOTDATA("Sum of New UG E-Learning",'Pivot Table for Fact Book'!$A$3,"State","MD","type",10,"Type2","Two-Year")</f>
        <v>92804.5</v>
      </c>
      <c r="Z33" s="100">
        <f>GETPIVOTDATA("Sum of Old UG E-Learning",'Pivot Table for Fact Book'!$A$3,"State","MD","Type2","Two-Year")</f>
        <v>537610.69999999995</v>
      </c>
      <c r="AA33" s="100">
        <f>GETPIVOTDATA("Sum of New UG E-Learning",'Pivot Table for Fact Book'!$A$3,"State","MD","Type2","Two-Year")</f>
        <v>1541459</v>
      </c>
      <c r="AB33" s="97">
        <f>+GETPIVOTDATA("Sum of Old UG E-Learning",'Pivot Table for Fact Book'!$A$3,"State","MD","type",12,"type2","Techncial")</f>
        <v>0</v>
      </c>
      <c r="AC33" s="98">
        <f>+GETPIVOTDATA("Sum of New UG E-Learning",'Pivot Table for Fact Book'!$A$3,"State","MD","type",12,"type2","Techncial")</f>
        <v>0</v>
      </c>
      <c r="AD33" s="98">
        <f>+GETPIVOTDATA("Sum of Old UG E-Learning",'Pivot Table for Fact Book'!$A$3,"State","MD","type",13,"type2","Techncial")</f>
        <v>0</v>
      </c>
      <c r="AE33" s="98">
        <f>+GETPIVOTDATA("Sum of New UG E-Learning",'Pivot Table for Fact Book'!$A$3,"State","MD","type",13,"type2","Techncial")</f>
        <v>0</v>
      </c>
      <c r="AF33" s="102">
        <f>+GETPIVOTDATA("Sum of Old UG E-Learning",'Pivot Table for Fact Book'!$A$3,"State","MD","type2","Techncial")</f>
        <v>0</v>
      </c>
      <c r="AG33" s="102">
        <f>+GETPIVOTDATA("Sum of New UG E-Learning",'Pivot Table for Fact Book'!$A$3,"State","MD","type2","Techncial")</f>
        <v>0</v>
      </c>
    </row>
    <row r="34" spans="1:33">
      <c r="A34" s="110" t="s">
        <v>626</v>
      </c>
      <c r="B34" s="97">
        <f>GETPIVOTDATA("Sum of Old UG E-Learning",'Pivot Table for Fact Book'!$A$3,"State","MS","type",1,"Type2","Four-Year")</f>
        <v>237800</v>
      </c>
      <c r="C34" s="98">
        <f>GETPIVOTDATA("Sum of New UG E-Learning",'Pivot Table for Fact Book'!$A$3,"State","MS","type",1,"Type2","Four-Year")</f>
        <v>621572</v>
      </c>
      <c r="D34" s="97">
        <f>GETPIVOTDATA("Sum of Old UG E-Learning",'Pivot Table for Fact Book'!$A$3,"State","MS","type",2,"Type2","Four-Year")</f>
        <v>46156</v>
      </c>
      <c r="E34" s="98">
        <f>GETPIVOTDATA("Sum of New UG E-Learning",'Pivot Table for Fact Book'!$A$3,"State","MS","type",2,"Type2","Four-Year")</f>
        <v>84155.5</v>
      </c>
      <c r="F34" s="97">
        <f>GETPIVOTDATA("Sum of Old UG E-Learning",'Pivot Table for Fact Book'!$A$3,"State","MS","type",3,"Type2","Four-Year")</f>
        <v>0</v>
      </c>
      <c r="G34" s="98">
        <f>GETPIVOTDATA("Sum of New UG E-Learning",'Pivot Table for Fact Book'!$A$3,"State","MS","type",3,"Type2","Four-Year")</f>
        <v>0</v>
      </c>
      <c r="H34" s="97">
        <f>GETPIVOTDATA("Sum of Old UG E-Learning",'Pivot Table for Fact Book'!$A$3,"State","MS","type",4,"Type2","Four-Year")</f>
        <v>102058</v>
      </c>
      <c r="I34" s="98">
        <f>GETPIVOTDATA("Sum of New UG E-Learning",'Pivot Table for Fact Book'!$A$3,"State","MS","type",4,"Type2","Four-Year")</f>
        <v>117319</v>
      </c>
      <c r="J34" s="97">
        <f>GETPIVOTDATA("Sum of Old UG E-Learning",'Pivot Table for Fact Book'!$A$3,"State","MS","type",5,"Type2","Four-Year")</f>
        <v>0</v>
      </c>
      <c r="K34" s="98">
        <f>GETPIVOTDATA("Sum of New UG E-Learning",'Pivot Table for Fact Book'!$A$3,"State","MS","type",5,"Type2","Four-Year")</f>
        <v>0</v>
      </c>
      <c r="L34" s="97">
        <f>GETPIVOTDATA("Sum of Old UG E-Learning",'Pivot Table for Fact Book'!$A$3,"State","MS","type",6,"Type2","Four-Year")</f>
        <v>0</v>
      </c>
      <c r="M34" s="98">
        <f>GETPIVOTDATA("Sum of New UG E-Learning",'Pivot Table for Fact Book'!$A$3,"State","MS","type",6,"Type2","Four-Year")</f>
        <v>0</v>
      </c>
      <c r="N34" s="97">
        <f>GETPIVOTDATA("Sum of Old UG E-Learning",'Pivot Table for Fact Book'!$A$3,"State","MS","type",15,"Type2","Four-Year")</f>
        <v>0</v>
      </c>
      <c r="O34" s="98">
        <f>GETPIVOTDATA("Sum of New UG E-Learning",'Pivot Table for Fact Book'!$A$3,"State","MS","type",15,"Type2","Four-Year")</f>
        <v>0</v>
      </c>
      <c r="P34" s="99">
        <f>GETPIVOTDATA("Sum of Old UG E-Learning",'Pivot Table for Fact Book'!$A$3,"State","MS","Type2","Four-Year")</f>
        <v>386014</v>
      </c>
      <c r="Q34" s="99">
        <f>GETPIVOTDATA("Sum of New UG E-Learning",'Pivot Table for Fact Book'!$A$3,"State","MS","Type2","Four-Year")</f>
        <v>823046.5</v>
      </c>
      <c r="R34" s="97">
        <f>GETPIVOTDATA("Sum of Old UG E-Learning",'Pivot Table for Fact Book'!$A$3,"State","MS","type",7,"Type2","Two-Year")</f>
        <v>0</v>
      </c>
      <c r="S34" s="98">
        <f>GETPIVOTDATA("Sum of New UG E-Learning",'Pivot Table for Fact Book'!$A$3,"State","MS","type",7,"Type2","Two-Year")</f>
        <v>0</v>
      </c>
      <c r="T34" s="98">
        <f>GETPIVOTDATA("Sum of Old UG E-Learning",'Pivot Table for Fact Book'!$A$3,"State","MS","type",8,"Type2","Two-Year")</f>
        <v>0</v>
      </c>
      <c r="U34" s="98">
        <f>GETPIVOTDATA("Sum of New UG E-Learning",'Pivot Table for Fact Book'!$A$3,"State","MS","type",8,"Type2","Two-Year")</f>
        <v>0</v>
      </c>
      <c r="V34" s="98">
        <f>GETPIVOTDATA("Sum of Old UG E-Learning",'Pivot Table for Fact Book'!$A$3,"State","MS","type",9,"Type2","Two-Year")</f>
        <v>0</v>
      </c>
      <c r="W34" s="98">
        <f>GETPIVOTDATA("Sum of New UG E-Learning",'Pivot Table for Fact Book'!$A$3,"State","MS","type",9,"Type2","Two-Year")</f>
        <v>0</v>
      </c>
      <c r="X34" s="98">
        <f>GETPIVOTDATA("Sum of Old UG E-Learning",'Pivot Table for Fact Book'!$A$3,"State","MS","type",10,"Type2","Two-Year")</f>
        <v>0</v>
      </c>
      <c r="Y34" s="98">
        <f>GETPIVOTDATA("Sum of New UG E-Learning",'Pivot Table for Fact Book'!$A$3,"State","MS","type",10,"Type2","Two-Year")</f>
        <v>0</v>
      </c>
      <c r="Z34" s="100">
        <f>GETPIVOTDATA("Sum of Old UG E-Learning",'Pivot Table for Fact Book'!$A$3,"State","MS","Type2","Two-Year")</f>
        <v>0</v>
      </c>
      <c r="AA34" s="100">
        <f>GETPIVOTDATA("Sum of New UG E-Learning",'Pivot Table for Fact Book'!$A$3,"State","MS","Type2","Two-Year")</f>
        <v>0</v>
      </c>
      <c r="AB34" s="97">
        <f>+GETPIVOTDATA("Sum of Old UG E-Learning",'Pivot Table for Fact Book'!$A$3,"State","MS","type",12,"type2","Techncial")</f>
        <v>0</v>
      </c>
      <c r="AC34" s="98">
        <f>+GETPIVOTDATA("Sum of New UG E-Learning",'Pivot Table for Fact Book'!$A$3,"State","MS","type",12,"type2","Techncial")</f>
        <v>0</v>
      </c>
      <c r="AD34" s="98">
        <f>+GETPIVOTDATA("Sum of Old UG E-Learning",'Pivot Table for Fact Book'!$A$3,"State","MS","type",13,"type2","Techncial")</f>
        <v>0</v>
      </c>
      <c r="AE34" s="98">
        <f>+GETPIVOTDATA("Sum of New UG E-Learning",'Pivot Table for Fact Book'!$A$3,"State","MS","type",13,"type2","Techncial")</f>
        <v>0</v>
      </c>
      <c r="AF34" s="102">
        <f>+GETPIVOTDATA("Sum of Old UG E-Learning",'Pivot Table for Fact Book'!$A$3,"State","MS","type2","Techncial")</f>
        <v>0</v>
      </c>
      <c r="AG34" s="102">
        <f>+GETPIVOTDATA("Sum of New UG E-Learning",'Pivot Table for Fact Book'!$A$3,"State","MS","type2","Techncial")</f>
        <v>0</v>
      </c>
    </row>
    <row r="35" spans="1:33">
      <c r="A35" s="110" t="s">
        <v>627</v>
      </c>
      <c r="B35" s="97">
        <f>GETPIVOTDATA("Sum of Old UG E-Learning",'Pivot Table for Fact Book'!$A$3,"State","NC","type",1,"Type2","Four-Year")</f>
        <v>362299</v>
      </c>
      <c r="C35" s="98">
        <f>GETPIVOTDATA("Sum of New UG E-Learning",'Pivot Table for Fact Book'!$A$3,"State","NC","type",1,"Type2","Four-Year")</f>
        <v>1266900</v>
      </c>
      <c r="D35" s="97">
        <f>GETPIVOTDATA("Sum of Old UG E-Learning",'Pivot Table for Fact Book'!$A$3,"State","NC","type",2,"Type2","Four-Year")</f>
        <v>148939</v>
      </c>
      <c r="E35" s="98">
        <f>GETPIVOTDATA("Sum of New UG E-Learning",'Pivot Table for Fact Book'!$A$3,"State","NC","type",2,"Type2","Four-Year")</f>
        <v>323737</v>
      </c>
      <c r="F35" s="97">
        <f>GETPIVOTDATA("Sum of Old UG E-Learning",'Pivot Table for Fact Book'!$A$3,"State","NC","type",3,"Type2","Four-Year")</f>
        <v>308411</v>
      </c>
      <c r="G35" s="98">
        <f>GETPIVOTDATA("Sum of New UG E-Learning",'Pivot Table for Fact Book'!$A$3,"State","NC","type",3,"Type2","Four-Year")</f>
        <v>902435</v>
      </c>
      <c r="H35" s="97">
        <f>GETPIVOTDATA("Sum of Old UG E-Learning",'Pivot Table for Fact Book'!$A$3,"State","NC","type",4,"Type2","Four-Year")</f>
        <v>67489</v>
      </c>
      <c r="I35" s="98">
        <f>GETPIVOTDATA("Sum of New UG E-Learning",'Pivot Table for Fact Book'!$A$3,"State","NC","type",4,"Type2","Four-Year")</f>
        <v>94318</v>
      </c>
      <c r="J35" s="97">
        <f>GETPIVOTDATA("Sum of Old UG E-Learning",'Pivot Table for Fact Book'!$A$3,"State","NC","type",5,"Type2","Four-Year")</f>
        <v>88540</v>
      </c>
      <c r="K35" s="98">
        <f>GETPIVOTDATA("Sum of New UG E-Learning",'Pivot Table for Fact Book'!$A$3,"State","NC","type",5,"Type2","Four-Year")</f>
        <v>161660</v>
      </c>
      <c r="L35" s="97">
        <f>GETPIVOTDATA("Sum of Old UG E-Learning",'Pivot Table for Fact Book'!$A$3,"State","NC","type",6,"Type2","Four-Year")</f>
        <v>12820</v>
      </c>
      <c r="M35" s="98">
        <f>GETPIVOTDATA("Sum of New UG E-Learning",'Pivot Table for Fact Book'!$A$3,"State","NC","type",6,"Type2","Four-Year")</f>
        <v>51934</v>
      </c>
      <c r="N35" s="97">
        <f>GETPIVOTDATA("Sum of Old UG E-Learning",'Pivot Table for Fact Book'!$A$3,"State","NC","type",15,"Type2","Four-Year")</f>
        <v>708</v>
      </c>
      <c r="O35" s="98">
        <f>GETPIVOTDATA("Sum of New UG E-Learning",'Pivot Table for Fact Book'!$A$3,"State","NC","type",15,"Type2","Four-Year")</f>
        <v>5117</v>
      </c>
      <c r="P35" s="99">
        <f>GETPIVOTDATA("Sum of Old UG E-Learning",'Pivot Table for Fact Book'!$A$3,"State","NC","Type2","Four-Year")</f>
        <v>989206</v>
      </c>
      <c r="Q35" s="99">
        <f>GETPIVOTDATA("Sum of New UG E-Learning",'Pivot Table for Fact Book'!$A$3,"State","NC","Type2","Four-Year")</f>
        <v>2806101</v>
      </c>
      <c r="R35" s="97">
        <f>GETPIVOTDATA("Sum of Old UG E-Learning",'Pivot Table for Fact Book'!$A$3,"State","NC","type",7,"Type2","Two-Year")</f>
        <v>0</v>
      </c>
      <c r="S35" s="98">
        <f>GETPIVOTDATA("Sum of New UG E-Learning",'Pivot Table for Fact Book'!$A$3,"State","NC","type",7,"Type2","Two-Year")</f>
        <v>0</v>
      </c>
      <c r="T35" s="98">
        <f>GETPIVOTDATA("Sum of Old UG E-Learning",'Pivot Table for Fact Book'!$A$3,"State","NC","type",8,"Type2","Two-Year")</f>
        <v>921919</v>
      </c>
      <c r="U35" s="98">
        <f>GETPIVOTDATA("Sum of New UG E-Learning",'Pivot Table for Fact Book'!$A$3,"State","NC","type",8,"Type2","Two-Year")</f>
        <v>1352100</v>
      </c>
      <c r="V35" s="98">
        <f>GETPIVOTDATA("Sum of Old UG E-Learning",'Pivot Table for Fact Book'!$A$3,"State","NC","type",9,"Type2","Two-Year")</f>
        <v>756416.5</v>
      </c>
      <c r="W35" s="98">
        <f>GETPIVOTDATA("Sum of New UG E-Learning",'Pivot Table for Fact Book'!$A$3,"State","NC","type",9,"Type2","Two-Year")</f>
        <v>1039726</v>
      </c>
      <c r="X35" s="98">
        <f>GETPIVOTDATA("Sum of Old UG E-Learning",'Pivot Table for Fact Book'!$A$3,"State","NC","type",10,"Type2","Two-Year")</f>
        <v>397983</v>
      </c>
      <c r="Y35" s="98">
        <f>GETPIVOTDATA("Sum of New UG E-Learning",'Pivot Table for Fact Book'!$A$3,"State","NC","type",10,"Type2","Two-Year")</f>
        <v>502735</v>
      </c>
      <c r="Z35" s="100">
        <f>GETPIVOTDATA("Sum of Old UG E-Learning",'Pivot Table for Fact Book'!$A$3,"State","NC","Type2","Two-Year")</f>
        <v>2076318.5</v>
      </c>
      <c r="AA35" s="100">
        <f>GETPIVOTDATA("Sum of New UG E-Learning",'Pivot Table for Fact Book'!$A$3,"State","NC","Type2","Two-Year")</f>
        <v>2894561</v>
      </c>
      <c r="AB35" s="97">
        <f>+GETPIVOTDATA("Sum of Old UG E-Learning",'Pivot Table for Fact Book'!$A$3,"State","NC","type",12,"type2","Techncial")</f>
        <v>0</v>
      </c>
      <c r="AC35" s="98">
        <f>+GETPIVOTDATA("Sum of New UG E-Learning",'Pivot Table for Fact Book'!$A$3,"State","NC","type",12,"type2","Techncial")</f>
        <v>0</v>
      </c>
      <c r="AD35" s="98">
        <f>+GETPIVOTDATA("Sum of Old UG E-Learning",'Pivot Table for Fact Book'!$A$3,"State","NC","type",13,"type2","Techncial")</f>
        <v>0</v>
      </c>
      <c r="AE35" s="98">
        <f>+GETPIVOTDATA("Sum of New UG E-Learning",'Pivot Table for Fact Book'!$A$3,"State","NC","type",13,"type2","Techncial")</f>
        <v>0</v>
      </c>
      <c r="AF35" s="102">
        <f>+GETPIVOTDATA("Sum of Old UG E-Learning",'Pivot Table for Fact Book'!$A$3,"State","NC","type2","Techncial")</f>
        <v>0</v>
      </c>
      <c r="AG35" s="102">
        <f>+GETPIVOTDATA("Sum of New UG E-Learning",'Pivot Table for Fact Book'!$A$3,"State","NC","type2","Techncial")</f>
        <v>0</v>
      </c>
    </row>
    <row r="36" spans="1:33">
      <c r="A36" s="110" t="s">
        <v>628</v>
      </c>
      <c r="B36" s="97">
        <f>GETPIVOTDATA("Sum of Old UG E-Learning",'Pivot Table for Fact Book'!$A$3,"State","OK","type",1,"Type2","Four-Year")</f>
        <v>0</v>
      </c>
      <c r="C36" s="98">
        <f>GETPIVOTDATA("Sum of New UG E-Learning",'Pivot Table for Fact Book'!$A$3,"State","OK","type",1,"Type2","Four-Year")</f>
        <v>0</v>
      </c>
      <c r="D36" s="97">
        <f>GETPIVOTDATA("Sum of Old UG E-Learning",'Pivot Table for Fact Book'!$A$3,"State","OK","type",2,"Type2","Four-Year")</f>
        <v>0</v>
      </c>
      <c r="E36" s="98">
        <f>GETPIVOTDATA("Sum of New UG E-Learning",'Pivot Table for Fact Book'!$A$3,"State","OK","type",2,"Type2","Four-Year")</f>
        <v>0</v>
      </c>
      <c r="F36" s="97">
        <f>GETPIVOTDATA("Sum of Old UG E-Learning",'Pivot Table for Fact Book'!$A$3,"State","OK","type",3,"Type2","Four-Year")</f>
        <v>0</v>
      </c>
      <c r="G36" s="98">
        <f>GETPIVOTDATA("Sum of New UG E-Learning",'Pivot Table for Fact Book'!$A$3,"State","OK","type",3,"Type2","Four-Year")</f>
        <v>0</v>
      </c>
      <c r="H36" s="97">
        <f>GETPIVOTDATA("Sum of Old UG E-Learning",'Pivot Table for Fact Book'!$A$3,"State","OK","type",4,"Type2","Four-Year")</f>
        <v>0</v>
      </c>
      <c r="I36" s="98">
        <f>GETPIVOTDATA("Sum of New UG E-Learning",'Pivot Table for Fact Book'!$A$3,"State","OK","type",4,"Type2","Four-Year")</f>
        <v>0</v>
      </c>
      <c r="J36" s="97">
        <f>GETPIVOTDATA("Sum of Old UG E-Learning",'Pivot Table for Fact Book'!$A$3,"State","OK","type",5,"Type2","Four-Year")</f>
        <v>0</v>
      </c>
      <c r="K36" s="98">
        <f>GETPIVOTDATA("Sum of New UG E-Learning",'Pivot Table for Fact Book'!$A$3,"State","OK","type",5,"Type2","Four-Year")</f>
        <v>0</v>
      </c>
      <c r="L36" s="97">
        <f>GETPIVOTDATA("Sum of Old UG E-Learning",'Pivot Table for Fact Book'!$A$3,"State","OK","type",6,"Type2","Four-Year")</f>
        <v>0</v>
      </c>
      <c r="M36" s="98">
        <f>GETPIVOTDATA("Sum of New UG E-Learning",'Pivot Table for Fact Book'!$A$3,"State","OK","type",6,"Type2","Four-Year")</f>
        <v>0</v>
      </c>
      <c r="N36" s="97">
        <f>GETPIVOTDATA("Sum of Old UG E-Learning",'Pivot Table for Fact Book'!$A$3,"State","OK","type",15,"Type2","Four-Year")</f>
        <v>0</v>
      </c>
      <c r="O36" s="98">
        <f>GETPIVOTDATA("Sum of New UG E-Learning",'Pivot Table for Fact Book'!$A$3,"State","OK","type",15,"Type2","Four-Year")</f>
        <v>0</v>
      </c>
      <c r="P36" s="99">
        <f>GETPIVOTDATA("Sum of Old UG E-Learning",'Pivot Table for Fact Book'!$A$3,"State","OK","Type2","Four-Year")</f>
        <v>0</v>
      </c>
      <c r="Q36" s="99">
        <f>GETPIVOTDATA("Sum of New UG E-Learning",'Pivot Table for Fact Book'!$A$3,"State","OK","Type2","Four-Year")</f>
        <v>0</v>
      </c>
      <c r="R36" s="97">
        <f>GETPIVOTDATA("Sum of Old UG E-Learning",'Pivot Table for Fact Book'!$A$3,"State","OK","type",7,"Type2","Two-Year")</f>
        <v>0</v>
      </c>
      <c r="S36" s="98">
        <f>GETPIVOTDATA("Sum of New UG E-Learning",'Pivot Table for Fact Book'!$A$3,"State","OK","type",7,"Type2","Two-Year")</f>
        <v>0</v>
      </c>
      <c r="T36" s="98">
        <f>GETPIVOTDATA("Sum of Old UG E-Learning",'Pivot Table for Fact Book'!$A$3,"State","OK","type",8,"Type2","Two-Year")</f>
        <v>0</v>
      </c>
      <c r="U36" s="98">
        <f>GETPIVOTDATA("Sum of New UG E-Learning",'Pivot Table for Fact Book'!$A$3,"State","OK","type",8,"Type2","Two-Year")</f>
        <v>0</v>
      </c>
      <c r="V36" s="98">
        <f>GETPIVOTDATA("Sum of Old UG E-Learning",'Pivot Table for Fact Book'!$A$3,"State","OK","type",9,"Type2","Two-Year")</f>
        <v>0</v>
      </c>
      <c r="W36" s="98">
        <f>GETPIVOTDATA("Sum of New UG E-Learning",'Pivot Table for Fact Book'!$A$3,"State","OK","type",9,"Type2","Two-Year")</f>
        <v>0</v>
      </c>
      <c r="X36" s="98">
        <f>GETPIVOTDATA("Sum of Old UG E-Learning",'Pivot Table for Fact Book'!$A$3,"State","OK","type",10,"Type2","Two-Year")</f>
        <v>0</v>
      </c>
      <c r="Y36" s="98">
        <f>GETPIVOTDATA("Sum of New UG E-Learning",'Pivot Table for Fact Book'!$A$3,"State","OK","type",10,"Type2","Two-Year")</f>
        <v>0</v>
      </c>
      <c r="Z36" s="100">
        <f>GETPIVOTDATA("Sum of Old UG E-Learning",'Pivot Table for Fact Book'!$A$3,"State","OK","Type2","Two-Year")</f>
        <v>0</v>
      </c>
      <c r="AA36" s="100">
        <f>GETPIVOTDATA("Sum of New UG E-Learning",'Pivot Table for Fact Book'!$A$3,"State","OK","Type2","Two-Year")</f>
        <v>0</v>
      </c>
      <c r="AB36" s="97">
        <f>+GETPIVOTDATA("Sum of Old UG E-Learning",'Pivot Table for Fact Book'!$A$3,"State","OK","type",12,"type2","Techncial")</f>
        <v>0</v>
      </c>
      <c r="AC36" s="98">
        <f>+GETPIVOTDATA("Sum of New UG E-Learning",'Pivot Table for Fact Book'!$A$3,"State","OK","type",12,"type2","Techncial")</f>
        <v>0</v>
      </c>
      <c r="AD36" s="98">
        <f>+GETPIVOTDATA("Sum of Old UG E-Learning",'Pivot Table for Fact Book'!$A$3,"State","OK","type",13,"type2","Techncial")</f>
        <v>0</v>
      </c>
      <c r="AE36" s="98">
        <f>+GETPIVOTDATA("Sum of New UG E-Learning",'Pivot Table for Fact Book'!$A$3,"State","OK","type",13,"type2","Techncial")</f>
        <v>0</v>
      </c>
      <c r="AF36" s="102">
        <f>+GETPIVOTDATA("Sum of Old UG E-Learning",'Pivot Table for Fact Book'!$A$3,"State","OK","type2","Techncial")</f>
        <v>0</v>
      </c>
      <c r="AG36" s="102">
        <f>+GETPIVOTDATA("Sum of New UG E-Learning",'Pivot Table for Fact Book'!$A$3,"State","OK","type2","Techncial")</f>
        <v>0</v>
      </c>
    </row>
    <row r="37" spans="1:33">
      <c r="A37" s="110" t="s">
        <v>629</v>
      </c>
      <c r="B37" s="97">
        <f>GETPIVOTDATA("Sum of Old UG E-Learning",'Pivot Table for Fact Book'!$A$3,"State","SC","type",1,"Type2","Four-Year")</f>
        <v>164075</v>
      </c>
      <c r="C37" s="98">
        <f>GETPIVOTDATA("Sum of New UG E-Learning",'Pivot Table for Fact Book'!$A$3,"State","SC","type",1,"Type2","Four-Year")</f>
        <v>632895</v>
      </c>
      <c r="D37" s="97">
        <f>GETPIVOTDATA("Sum of Old UG E-Learning",'Pivot Table for Fact Book'!$A$3,"State","SC","type",2,"Type2","Four-Year")</f>
        <v>0</v>
      </c>
      <c r="E37" s="98">
        <f>GETPIVOTDATA("Sum of New UG E-Learning",'Pivot Table for Fact Book'!$A$3,"State","SC","type",2,"Type2","Four-Year")</f>
        <v>0</v>
      </c>
      <c r="F37" s="97">
        <f>GETPIVOTDATA("Sum of Old UG E-Learning",'Pivot Table for Fact Book'!$A$3,"State","SC","type",3,"Type2","Four-Year")</f>
        <v>51747.5</v>
      </c>
      <c r="G37" s="98">
        <f>GETPIVOTDATA("Sum of New UG E-Learning",'Pivot Table for Fact Book'!$A$3,"State","SC","type",3,"Type2","Four-Year")</f>
        <v>152501</v>
      </c>
      <c r="H37" s="97">
        <f>GETPIVOTDATA("Sum of Old UG E-Learning",'Pivot Table for Fact Book'!$A$3,"State","SC","type",4,"Type2","Four-Year")</f>
        <v>54084</v>
      </c>
      <c r="I37" s="98">
        <f>GETPIVOTDATA("Sum of New UG E-Learning",'Pivot Table for Fact Book'!$A$3,"State","SC","type",4,"Type2","Four-Year")</f>
        <v>67335</v>
      </c>
      <c r="J37" s="97">
        <f>GETPIVOTDATA("Sum of Old UG E-Learning",'Pivot Table for Fact Book'!$A$3,"State","SC","type",5,"Type2","Four-Year")</f>
        <v>17872</v>
      </c>
      <c r="K37" s="98">
        <f>GETPIVOTDATA("Sum of New UG E-Learning",'Pivot Table for Fact Book'!$A$3,"State","SC","type",5,"Type2","Four-Year")</f>
        <v>29480</v>
      </c>
      <c r="L37" s="97">
        <f>GETPIVOTDATA("Sum of Old UG E-Learning",'Pivot Table for Fact Book'!$A$3,"State","SC","type",6,"Type2","Four-Year")</f>
        <v>84529</v>
      </c>
      <c r="M37" s="98">
        <f>GETPIVOTDATA("Sum of New UG E-Learning",'Pivot Table for Fact Book'!$A$3,"State","SC","type",6,"Type2","Four-Year")</f>
        <v>186856</v>
      </c>
      <c r="N37" s="97">
        <f>GETPIVOTDATA("Sum of Old UG E-Learning",'Pivot Table for Fact Book'!$A$3,"State","SC","type",15,"Type2","Four-Year")</f>
        <v>0</v>
      </c>
      <c r="O37" s="98">
        <f>GETPIVOTDATA("Sum of New UG E-Learning",'Pivot Table for Fact Book'!$A$3,"State","SC","type",15,"Type2","Four-Year")</f>
        <v>0</v>
      </c>
      <c r="P37" s="99">
        <f>GETPIVOTDATA("Sum of Old UG E-Learning",'Pivot Table for Fact Book'!$A$3,"State","SC","Type2","Four-Year")</f>
        <v>372307.5</v>
      </c>
      <c r="Q37" s="99">
        <f>GETPIVOTDATA("Sum of New UG E-Learning",'Pivot Table for Fact Book'!$A$3,"State","SC","Type2","Four-Year")</f>
        <v>1069067</v>
      </c>
      <c r="R37" s="97">
        <f>GETPIVOTDATA("Sum of Old UG E-Learning",'Pivot Table for Fact Book'!$A$3,"State","SC","type",7,"Type2","Two-Year")</f>
        <v>0</v>
      </c>
      <c r="S37" s="98">
        <f>GETPIVOTDATA("Sum of New UG E-Learning",'Pivot Table for Fact Book'!$A$3,"State","SC","type",7,"Type2","Two-Year")</f>
        <v>0</v>
      </c>
      <c r="T37" s="98">
        <f>GETPIVOTDATA("Sum of Old UG E-Learning",'Pivot Table for Fact Book'!$A$3,"State","SC","type",8,"Type2","Two-Year")</f>
        <v>314976</v>
      </c>
      <c r="U37" s="98">
        <f>GETPIVOTDATA("Sum of New UG E-Learning",'Pivot Table for Fact Book'!$A$3,"State","SC","type",8,"Type2","Two-Year")</f>
        <v>507747</v>
      </c>
      <c r="V37" s="98">
        <f>GETPIVOTDATA("Sum of Old UG E-Learning",'Pivot Table for Fact Book'!$A$3,"State","SC","type",9,"Type2","Two-Year")</f>
        <v>220056</v>
      </c>
      <c r="W37" s="98">
        <f>GETPIVOTDATA("Sum of New UG E-Learning",'Pivot Table for Fact Book'!$A$3,"State","SC","type",9,"Type2","Two-Year")</f>
        <v>361907</v>
      </c>
      <c r="X37" s="98">
        <f>GETPIVOTDATA("Sum of Old UG E-Learning",'Pivot Table for Fact Book'!$A$3,"State","SC","type",10,"Type2","Two-Year")</f>
        <v>88898</v>
      </c>
      <c r="Y37" s="98">
        <f>GETPIVOTDATA("Sum of New UG E-Learning",'Pivot Table for Fact Book'!$A$3,"State","SC","type",10,"Type2","Two-Year")</f>
        <v>170375</v>
      </c>
      <c r="Z37" s="100">
        <f>GETPIVOTDATA("Sum of Old UG E-Learning",'Pivot Table for Fact Book'!$A$3,"State","SC","Type2","Two-Year")</f>
        <v>623930</v>
      </c>
      <c r="AA37" s="100">
        <f>GETPIVOTDATA("Sum of New UG E-Learning",'Pivot Table for Fact Book'!$A$3,"State","SC","Type2","Two-Year")</f>
        <v>1040029</v>
      </c>
      <c r="AB37" s="97">
        <f>+GETPIVOTDATA("Sum of Old UG E-Learning",'Pivot Table for Fact Book'!$A$3,"State","SC","type",12,"type2","Techncial")</f>
        <v>0</v>
      </c>
      <c r="AC37" s="98">
        <f>+GETPIVOTDATA("Sum of New UG E-Learning",'Pivot Table for Fact Book'!$A$3,"State","SC","type",12,"type2","Techncial")</f>
        <v>0</v>
      </c>
      <c r="AD37" s="98">
        <f>+GETPIVOTDATA("Sum of Old UG E-Learning",'Pivot Table for Fact Book'!$A$3,"State","SC","type",13,"type2","Techncial")</f>
        <v>0</v>
      </c>
      <c r="AE37" s="98">
        <f>+GETPIVOTDATA("Sum of New UG E-Learning",'Pivot Table for Fact Book'!$A$3,"State","SC","type",13,"type2","Techncial")</f>
        <v>0</v>
      </c>
      <c r="AF37" s="102">
        <f>+GETPIVOTDATA("Sum of Old UG E-Learning",'Pivot Table for Fact Book'!$A$3,"State","SC","type2","Techncial")</f>
        <v>0</v>
      </c>
      <c r="AG37" s="102">
        <f>+GETPIVOTDATA("Sum of New UG E-Learning",'Pivot Table for Fact Book'!$A$3,"State","SC","type2","Techncial")</f>
        <v>0</v>
      </c>
    </row>
    <row r="38" spans="1:33">
      <c r="A38" s="110" t="s">
        <v>630</v>
      </c>
      <c r="B38" s="97">
        <f>GETPIVOTDATA("Sum of Old UG E-Learning",'Pivot Table for Fact Book'!$A$3,"State","TN","type",1,"Type2","Four-Year")</f>
        <v>173481</v>
      </c>
      <c r="C38" s="98">
        <f>GETPIVOTDATA("Sum of New UG E-Learning",'Pivot Table for Fact Book'!$A$3,"State","TN","type",1,"Type2","Four-Year")</f>
        <v>241858</v>
      </c>
      <c r="D38" s="97">
        <f>GETPIVOTDATA("Sum of Old UG E-Learning",'Pivot Table for Fact Book'!$A$3,"State","TN","type",2,"Type2","Four-Year")</f>
        <v>228028</v>
      </c>
      <c r="E38" s="98">
        <f>GETPIVOTDATA("Sum of New UG E-Learning",'Pivot Table for Fact Book'!$A$3,"State","TN","type",2,"Type2","Four-Year")</f>
        <v>383652</v>
      </c>
      <c r="F38" s="97">
        <f>GETPIVOTDATA("Sum of Old UG E-Learning",'Pivot Table for Fact Book'!$A$3,"State","TN","type",3,"Type2","Four-Year")</f>
        <v>234712</v>
      </c>
      <c r="G38" s="98">
        <f>GETPIVOTDATA("Sum of New UG E-Learning",'Pivot Table for Fact Book'!$A$3,"State","TN","type",3,"Type2","Four-Year")</f>
        <v>439368</v>
      </c>
      <c r="H38" s="97">
        <f>GETPIVOTDATA("Sum of Old UG E-Learning",'Pivot Table for Fact Book'!$A$3,"State","TN","type",4,"Type2","Four-Year")</f>
        <v>28366</v>
      </c>
      <c r="I38" s="98">
        <f>GETPIVOTDATA("Sum of New UG E-Learning",'Pivot Table for Fact Book'!$A$3,"State","TN","type",4,"Type2","Four-Year")</f>
        <v>71076</v>
      </c>
      <c r="J38" s="97">
        <f>GETPIVOTDATA("Sum of Old UG E-Learning",'Pivot Table for Fact Book'!$A$3,"State","TN","type",5,"Type2","Four-Year")</f>
        <v>0</v>
      </c>
      <c r="K38" s="98">
        <f>GETPIVOTDATA("Sum of New UG E-Learning",'Pivot Table for Fact Book'!$A$3,"State","TN","type",5,"Type2","Four-Year")</f>
        <v>0</v>
      </c>
      <c r="L38" s="97">
        <f>GETPIVOTDATA("Sum of Old UG E-Learning",'Pivot Table for Fact Book'!$A$3,"State","TN","type",6,"Type2","Four-Year")</f>
        <v>0</v>
      </c>
      <c r="M38" s="98">
        <f>GETPIVOTDATA("Sum of New UG E-Learning",'Pivot Table for Fact Book'!$A$3,"State","TN","type",6,"Type2","Four-Year")</f>
        <v>0</v>
      </c>
      <c r="N38" s="97">
        <f>GETPIVOTDATA("Sum of Old UG E-Learning",'Pivot Table for Fact Book'!$A$3,"State","TN","type",15,"Type2","Four-Year")</f>
        <v>0</v>
      </c>
      <c r="O38" s="98">
        <f>GETPIVOTDATA("Sum of New UG E-Learning",'Pivot Table for Fact Book'!$A$3,"State","TN","type",15,"Type2","Four-Year")</f>
        <v>0</v>
      </c>
      <c r="P38" s="99">
        <f>GETPIVOTDATA("Sum of Old UG E-Learning",'Pivot Table for Fact Book'!$A$3,"State","TN","Type2","Four-Year")</f>
        <v>664587</v>
      </c>
      <c r="Q38" s="99">
        <f>GETPIVOTDATA("Sum of New UG E-Learning",'Pivot Table for Fact Book'!$A$3,"State","TN","Type2","Four-Year")</f>
        <v>1135954</v>
      </c>
      <c r="R38" s="97">
        <f>GETPIVOTDATA("Sum of Old UG E-Learning",'Pivot Table for Fact Book'!$A$3,"State","TN","type",7,"Type2","Two-Year")</f>
        <v>0</v>
      </c>
      <c r="S38" s="98">
        <f>GETPIVOTDATA("Sum of New UG E-Learning",'Pivot Table for Fact Book'!$A$3,"State","TN","type",7,"Type2","Two-Year")</f>
        <v>0</v>
      </c>
      <c r="T38" s="98">
        <f>GETPIVOTDATA("Sum of Old UG E-Learning",'Pivot Table for Fact Book'!$A$3,"State","TN","type",8,"Type2","Two-Year")</f>
        <v>260482</v>
      </c>
      <c r="U38" s="98">
        <f>GETPIVOTDATA("Sum of New UG E-Learning",'Pivot Table for Fact Book'!$A$3,"State","TN","type",8,"Type2","Two-Year")</f>
        <v>500563</v>
      </c>
      <c r="V38" s="98">
        <f>GETPIVOTDATA("Sum of Old UG E-Learning",'Pivot Table for Fact Book'!$A$3,"State","TN","type",9,"Type2","Two-Year")</f>
        <v>255037</v>
      </c>
      <c r="W38" s="98">
        <f>GETPIVOTDATA("Sum of New UG E-Learning",'Pivot Table for Fact Book'!$A$3,"State","TN","type",9,"Type2","Two-Year")</f>
        <v>370828</v>
      </c>
      <c r="X38" s="98">
        <f>GETPIVOTDATA("Sum of Old UG E-Learning",'Pivot Table for Fact Book'!$A$3,"State","TN","type",10,"Type2","Two-Year")</f>
        <v>16790</v>
      </c>
      <c r="Y38" s="98">
        <f>GETPIVOTDATA("Sum of New UG E-Learning",'Pivot Table for Fact Book'!$A$3,"State","TN","type",10,"Type2","Two-Year")</f>
        <v>20366</v>
      </c>
      <c r="Z38" s="100">
        <f>GETPIVOTDATA("Sum of Old UG E-Learning",'Pivot Table for Fact Book'!$A$3,"State","TN","Type2","Two-Year")</f>
        <v>532309</v>
      </c>
      <c r="AA38" s="100">
        <f>GETPIVOTDATA("Sum of New UG E-Learning",'Pivot Table for Fact Book'!$A$3,"State","TN","Type2","Two-Year")</f>
        <v>891757</v>
      </c>
      <c r="AB38" s="97">
        <f>+GETPIVOTDATA("Sum of Old UG E-Learning",'Pivot Table for Fact Book'!$A$3,"State","TN","type",12,"type2","Techncial")</f>
        <v>0</v>
      </c>
      <c r="AC38" s="98">
        <f>+GETPIVOTDATA("Sum of New UG E-Learning",'Pivot Table for Fact Book'!$A$3,"State","TN","type",12,"type2","Techncial")</f>
        <v>0</v>
      </c>
      <c r="AD38" s="98">
        <f>+GETPIVOTDATA("Sum of Old UG E-Learning",'Pivot Table for Fact Book'!$A$3,"State","TN","type",13,"type2","Techncial")</f>
        <v>0</v>
      </c>
      <c r="AE38" s="98">
        <f>+GETPIVOTDATA("Sum of New UG E-Learning",'Pivot Table for Fact Book'!$A$3,"State","TN","type",13,"type2","Techncial")</f>
        <v>0</v>
      </c>
      <c r="AF38" s="102">
        <f>+GETPIVOTDATA("Sum of Old UG E-Learning",'Pivot Table for Fact Book'!$A$3,"State","TN","type2","Techncial")</f>
        <v>0</v>
      </c>
      <c r="AG38" s="102">
        <f>+GETPIVOTDATA("Sum of New UG E-Learning",'Pivot Table for Fact Book'!$A$3,"State","TN","type2","Techncial")</f>
        <v>0</v>
      </c>
    </row>
    <row r="39" spans="1:33">
      <c r="A39" s="110" t="s">
        <v>631</v>
      </c>
      <c r="B39" s="97">
        <f>GETPIVOTDATA("Sum of Old UG E-Learning",'Pivot Table for Fact Book'!$A$3,"State","TX","type",1,"Type2","Four-Year")</f>
        <v>0</v>
      </c>
      <c r="C39" s="98">
        <f>GETPIVOTDATA("Sum of New UG E-Learning",'Pivot Table for Fact Book'!$A$3,"State","TX","type",1,"Type2","Four-Year")</f>
        <v>3978755</v>
      </c>
      <c r="D39" s="97">
        <f>GETPIVOTDATA("Sum of Old UG E-Learning",'Pivot Table for Fact Book'!$A$3,"State","TX","type",2,"Type2","Four-Year")</f>
        <v>0</v>
      </c>
      <c r="E39" s="98">
        <f>GETPIVOTDATA("Sum of New UG E-Learning",'Pivot Table for Fact Book'!$A$3,"State","TX","type",2,"Type2","Four-Year")</f>
        <v>852464</v>
      </c>
      <c r="F39" s="97">
        <f>GETPIVOTDATA("Sum of Old UG E-Learning",'Pivot Table for Fact Book'!$A$3,"State","TX","type",3,"Type2","Four-Year")</f>
        <v>0</v>
      </c>
      <c r="G39" s="98">
        <f>GETPIVOTDATA("Sum of New UG E-Learning",'Pivot Table for Fact Book'!$A$3,"State","TX","type",3,"Type2","Four-Year")</f>
        <v>2375118</v>
      </c>
      <c r="H39" s="97">
        <f>GETPIVOTDATA("Sum of Old UG E-Learning",'Pivot Table for Fact Book'!$A$3,"State","TX","type",4,"Type2","Four-Year")</f>
        <v>0</v>
      </c>
      <c r="I39" s="98">
        <f>GETPIVOTDATA("Sum of New UG E-Learning",'Pivot Table for Fact Book'!$A$3,"State","TX","type",4,"Type2","Four-Year")</f>
        <v>457862</v>
      </c>
      <c r="J39" s="97">
        <f>GETPIVOTDATA("Sum of Old UG E-Learning",'Pivot Table for Fact Book'!$A$3,"State","TX","type",5,"Type2","Four-Year")</f>
        <v>0</v>
      </c>
      <c r="K39" s="98">
        <f>GETPIVOTDATA("Sum of New UG E-Learning",'Pivot Table for Fact Book'!$A$3,"State","TX","type",5,"Type2","Four-Year")</f>
        <v>30061</v>
      </c>
      <c r="L39" s="97">
        <f>GETPIVOTDATA("Sum of Old UG E-Learning",'Pivot Table for Fact Book'!$A$3,"State","TX","type",6,"Type2","Four-Year")</f>
        <v>0</v>
      </c>
      <c r="M39" s="98">
        <f>GETPIVOTDATA("Sum of New UG E-Learning",'Pivot Table for Fact Book'!$A$3,"State","TX","type",6,"Type2","Four-Year")</f>
        <v>0</v>
      </c>
      <c r="N39" s="97">
        <f>GETPIVOTDATA("Sum of Old UG E-Learning",'Pivot Table for Fact Book'!$A$3,"State","TX","type",15,"Type2","Four-Year")</f>
        <v>0</v>
      </c>
      <c r="O39" s="98">
        <f>GETPIVOTDATA("Sum of New UG E-Learning",'Pivot Table for Fact Book'!$A$3,"State","TX","type",15,"Type2","Four-Year")</f>
        <v>0</v>
      </c>
      <c r="P39" s="99">
        <f>GETPIVOTDATA("Sum of Old UG E-Learning",'Pivot Table for Fact Book'!$A$3,"State","TX","Type2","Four-Year")</f>
        <v>0</v>
      </c>
      <c r="Q39" s="99">
        <f>GETPIVOTDATA("Sum of New UG E-Learning",'Pivot Table for Fact Book'!$A$3,"State","TX","Type2","Four-Year")</f>
        <v>7694260</v>
      </c>
      <c r="R39" s="97">
        <f>GETPIVOTDATA("Sum of Old UG E-Learning",'Pivot Table for Fact Book'!$A$3,"State","TX","type",7,"Type2","Two-Year")</f>
        <v>0</v>
      </c>
      <c r="S39" s="98">
        <f>GETPIVOTDATA("Sum of New UG E-Learning",'Pivot Table for Fact Book'!$A$3,"State","TX","type",7,"Type2","Two-Year")</f>
        <v>469874</v>
      </c>
      <c r="T39" s="98">
        <f>GETPIVOTDATA("Sum of Old UG E-Learning",'Pivot Table for Fact Book'!$A$3,"State","TX","type",8,"Type2","Two-Year")</f>
        <v>0</v>
      </c>
      <c r="U39" s="98">
        <f>GETPIVOTDATA("Sum of New UG E-Learning",'Pivot Table for Fact Book'!$A$3,"State","TX","type",8,"Type2","Two-Year")</f>
        <v>5409082</v>
      </c>
      <c r="V39" s="98">
        <f>GETPIVOTDATA("Sum of Old UG E-Learning",'Pivot Table for Fact Book'!$A$3,"State","TX","type",9,"Type2","Two-Year")</f>
        <v>0</v>
      </c>
      <c r="W39" s="98">
        <f>GETPIVOTDATA("Sum of New UG E-Learning",'Pivot Table for Fact Book'!$A$3,"State","TX","type",9,"Type2","Two-Year")</f>
        <v>1395479</v>
      </c>
      <c r="X39" s="98">
        <f>GETPIVOTDATA("Sum of Old UG E-Learning",'Pivot Table for Fact Book'!$A$3,"State","TX","type",10,"Type2","Two-Year")</f>
        <v>0</v>
      </c>
      <c r="Y39" s="98">
        <f>GETPIVOTDATA("Sum of New UG E-Learning",'Pivot Table for Fact Book'!$A$3,"State","TX","type",10,"Type2","Two-Year")</f>
        <v>613983</v>
      </c>
      <c r="Z39" s="100">
        <f>GETPIVOTDATA("Sum of Old UG E-Learning",'Pivot Table for Fact Book'!$A$3,"State","TX","Type2","Two-Year")</f>
        <v>0</v>
      </c>
      <c r="AA39" s="100">
        <f>GETPIVOTDATA("Sum of New UG E-Learning",'Pivot Table for Fact Book'!$A$3,"State","TX","Type2","Two-Year")</f>
        <v>7888418</v>
      </c>
      <c r="AB39" s="97">
        <f>+GETPIVOTDATA("Sum of Old UG E-Learning",'Pivot Table for Fact Book'!$A$3,"State","TX","type",12,"type2","Techncial")</f>
        <v>0</v>
      </c>
      <c r="AC39" s="98">
        <f>+GETPIVOTDATA("Sum of New UG E-Learning",'Pivot Table for Fact Book'!$A$3,"State","TX","type",12,"type2","Techncial")</f>
        <v>0</v>
      </c>
      <c r="AD39" s="98">
        <f>+GETPIVOTDATA("Sum of Old UG E-Learning",'Pivot Table for Fact Book'!$A$3,"State","TX","type",13,"type2","Techncial")</f>
        <v>0</v>
      </c>
      <c r="AE39" s="98">
        <f>+GETPIVOTDATA("Sum of New UG E-Learning",'Pivot Table for Fact Book'!$A$3,"State","TX","type",13,"type2","Techncial")</f>
        <v>0</v>
      </c>
      <c r="AF39" s="102">
        <f>+GETPIVOTDATA("Sum of Old UG E-Learning",'Pivot Table for Fact Book'!$A$3,"State","TX","type2","Techncial")</f>
        <v>0</v>
      </c>
      <c r="AG39" s="102">
        <f>+GETPIVOTDATA("Sum of New UG E-Learning",'Pivot Table for Fact Book'!$A$3,"State","TX","type2","Techncial")</f>
        <v>0</v>
      </c>
    </row>
    <row r="40" spans="1:33">
      <c r="A40" s="110" t="s">
        <v>632</v>
      </c>
      <c r="B40" s="97">
        <f>GETPIVOTDATA("Sum of Old UG E-Learning",'Pivot Table for Fact Book'!$A$3,"State","VA","type",1,"Type2","Four-Year")</f>
        <v>367905</v>
      </c>
      <c r="C40" s="98">
        <f>GETPIVOTDATA("Sum of New UG E-Learning",'Pivot Table for Fact Book'!$A$3,"State","VA","type",1,"Type2","Four-Year")</f>
        <v>1462620.5</v>
      </c>
      <c r="D40" s="97">
        <f>GETPIVOTDATA("Sum of Old UG E-Learning",'Pivot Table for Fact Book'!$A$3,"State","VA","type",2,"Type2","Four-Year")</f>
        <v>1128</v>
      </c>
      <c r="E40" s="98">
        <f>GETPIVOTDATA("Sum of New UG E-Learning",'Pivot Table for Fact Book'!$A$3,"State","VA","type",2,"Type2","Four-Year")</f>
        <v>78805.5</v>
      </c>
      <c r="F40" s="97">
        <f>GETPIVOTDATA("Sum of Old UG E-Learning",'Pivot Table for Fact Book'!$A$3,"State","VA","type",3,"Type2","Four-Year")</f>
        <v>79411</v>
      </c>
      <c r="G40" s="98">
        <f>GETPIVOTDATA("Sum of New UG E-Learning",'Pivot Table for Fact Book'!$A$3,"State","VA","type",3,"Type2","Four-Year")</f>
        <v>374726</v>
      </c>
      <c r="H40" s="97">
        <f>GETPIVOTDATA("Sum of Old UG E-Learning",'Pivot Table for Fact Book'!$A$3,"State","VA","type",4,"Type2","Four-Year")</f>
        <v>32017</v>
      </c>
      <c r="I40" s="98">
        <f>GETPIVOTDATA("Sum of New UG E-Learning",'Pivot Table for Fact Book'!$A$3,"State","VA","type",4,"Type2","Four-Year")</f>
        <v>43499</v>
      </c>
      <c r="J40" s="97">
        <f>GETPIVOTDATA("Sum of Old UG E-Learning",'Pivot Table for Fact Book'!$A$3,"State","VA","type",5,"Type2","Four-Year")</f>
        <v>19646.2</v>
      </c>
      <c r="K40" s="98">
        <f>GETPIVOTDATA("Sum of New UG E-Learning",'Pivot Table for Fact Book'!$A$3,"State","VA","type",5,"Type2","Four-Year")</f>
        <v>121901</v>
      </c>
      <c r="L40" s="97">
        <f>GETPIVOTDATA("Sum of Old UG E-Learning",'Pivot Table for Fact Book'!$A$3,"State","VA","type",6,"Type2","Four-Year")</f>
        <v>11457</v>
      </c>
      <c r="M40" s="98">
        <f>GETPIVOTDATA("Sum of New UG E-Learning",'Pivot Table for Fact Book'!$A$3,"State","VA","type",6,"Type2","Four-Year")</f>
        <v>12396</v>
      </c>
      <c r="N40" s="97">
        <f>GETPIVOTDATA("Sum of Old UG E-Learning",'Pivot Table for Fact Book'!$A$3,"State","VA","type",15,"Type2","Four-Year")</f>
        <v>0</v>
      </c>
      <c r="O40" s="98">
        <f>GETPIVOTDATA("Sum of New UG E-Learning",'Pivot Table for Fact Book'!$A$3,"State","VA","type",15,"Type2","Four-Year")</f>
        <v>0</v>
      </c>
      <c r="P40" s="99">
        <f>GETPIVOTDATA("Sum of Old UG E-Learning",'Pivot Table for Fact Book'!$A$3,"State","VA","Type2","Four-Year")</f>
        <v>511564.2</v>
      </c>
      <c r="Q40" s="99">
        <f>GETPIVOTDATA("Sum of New UG E-Learning",'Pivot Table for Fact Book'!$A$3,"State","VA","Type2","Four-Year")</f>
        <v>2093948</v>
      </c>
      <c r="R40" s="97">
        <f>GETPIVOTDATA("Sum of Old UG E-Learning",'Pivot Table for Fact Book'!$A$3,"State","VA","type",7,"Type2","Two-Year")</f>
        <v>0</v>
      </c>
      <c r="S40" s="98">
        <f>GETPIVOTDATA("Sum of New UG E-Learning",'Pivot Table for Fact Book'!$A$3,"State","VA","type",7,"Type2","Two-Year")</f>
        <v>0</v>
      </c>
      <c r="T40" s="98">
        <f>GETPIVOTDATA("Sum of Old UG E-Learning",'Pivot Table for Fact Book'!$A$3,"State","VA","type",8,"Type2","Two-Year")</f>
        <v>517270</v>
      </c>
      <c r="U40" s="98">
        <f>GETPIVOTDATA("Sum of New UG E-Learning",'Pivot Table for Fact Book'!$A$3,"State","VA","type",8,"Type2","Two-Year")</f>
        <v>957758</v>
      </c>
      <c r="V40" s="98">
        <f>GETPIVOTDATA("Sum of Old UG E-Learning",'Pivot Table for Fact Book'!$A$3,"State","VA","type",9,"Type2","Two-Year")</f>
        <v>254797</v>
      </c>
      <c r="W40" s="98">
        <f>GETPIVOTDATA("Sum of New UG E-Learning",'Pivot Table for Fact Book'!$A$3,"State","VA","type",9,"Type2","Two-Year")</f>
        <v>421521</v>
      </c>
      <c r="X40" s="98">
        <f>GETPIVOTDATA("Sum of Old UG E-Learning",'Pivot Table for Fact Book'!$A$3,"State","VA","type",10,"Type2","Two-Year")</f>
        <v>171157</v>
      </c>
      <c r="Y40" s="98">
        <f>GETPIVOTDATA("Sum of New UG E-Learning",'Pivot Table for Fact Book'!$A$3,"State","VA","type",10,"Type2","Two-Year")</f>
        <v>236824</v>
      </c>
      <c r="Z40" s="100">
        <f>GETPIVOTDATA("Sum of Old UG E-Learning",'Pivot Table for Fact Book'!$A$3,"State","VA","Type2","Two-Year")</f>
        <v>943224</v>
      </c>
      <c r="AA40" s="100">
        <f>GETPIVOTDATA("Sum of New UG E-Learning",'Pivot Table for Fact Book'!$A$3,"State","VA","Type2","Two-Year")</f>
        <v>1616103</v>
      </c>
      <c r="AB40" s="97">
        <f>+GETPIVOTDATA("Sum of Old UG E-Learning",'Pivot Table for Fact Book'!$A$3,"State","VA","type",12,"type2","Techncial")</f>
        <v>0</v>
      </c>
      <c r="AC40" s="98">
        <f>+GETPIVOTDATA("Sum of New UG E-Learning",'Pivot Table for Fact Book'!$A$3,"State","VA","type",12,"type2","Techncial")</f>
        <v>0</v>
      </c>
      <c r="AD40" s="98">
        <f>+GETPIVOTDATA("Sum of Old UG E-Learning",'Pivot Table for Fact Book'!$A$3,"State","VA","type",13,"type2","Techncial")</f>
        <v>0</v>
      </c>
      <c r="AE40" s="98">
        <f>+GETPIVOTDATA("Sum of New UG E-Learning",'Pivot Table for Fact Book'!$A$3,"State","VA","type",13,"type2","Techncial")</f>
        <v>0</v>
      </c>
      <c r="AF40" s="102">
        <f>+GETPIVOTDATA("Sum of Old UG E-Learning",'Pivot Table for Fact Book'!$A$3,"State","VA","type2","Techncial")</f>
        <v>0</v>
      </c>
      <c r="AG40" s="102">
        <f>+GETPIVOTDATA("Sum of New UG E-Learning",'Pivot Table for Fact Book'!$A$3,"State","VA","type2","Techncial")</f>
        <v>0</v>
      </c>
    </row>
    <row r="41" spans="1:33">
      <c r="A41" s="131" t="s">
        <v>633</v>
      </c>
      <c r="B41" s="103">
        <f>GETPIVOTDATA("Sum of Old UG E-Learning",'Pivot Table for Fact Book'!$A$3,"State","WV","type",1,"Type2","Four-Year")</f>
        <v>80558</v>
      </c>
      <c r="C41" s="104">
        <f>GETPIVOTDATA("Sum of New UG E-Learning",'Pivot Table for Fact Book'!$A$3,"State","WV","type",1,"Type2","Four-Year")</f>
        <v>260149</v>
      </c>
      <c r="D41" s="103">
        <f>GETPIVOTDATA("Sum of Old UG E-Learning",'Pivot Table for Fact Book'!$A$3,"State","WV","type",2,"Type2","Four-Year")</f>
        <v>0</v>
      </c>
      <c r="E41" s="104">
        <f>GETPIVOTDATA("Sum of New UG E-Learning",'Pivot Table for Fact Book'!$A$3,"State","WV","type",2,"Type2","Four-Year")</f>
        <v>0</v>
      </c>
      <c r="F41" s="103">
        <f>GETPIVOTDATA("Sum of Old UG E-Learning",'Pivot Table for Fact Book'!$A$3,"State","WV","type",3,"Type2","Four-Year")</f>
        <v>47769</v>
      </c>
      <c r="G41" s="104">
        <f>GETPIVOTDATA("Sum of New UG E-Learning",'Pivot Table for Fact Book'!$A$3,"State","WV","type",3,"Type2","Four-Year")</f>
        <v>114746</v>
      </c>
      <c r="H41" s="103">
        <f>GETPIVOTDATA("Sum of Old UG E-Learning",'Pivot Table for Fact Book'!$A$3,"State","WV","type",4,"Type2","Four-Year")</f>
        <v>0</v>
      </c>
      <c r="I41" s="104">
        <f>GETPIVOTDATA("Sum of New UG E-Learning",'Pivot Table for Fact Book'!$A$3,"State","WV","type",4,"Type2","Four-Year")</f>
        <v>0</v>
      </c>
      <c r="J41" s="103">
        <f>GETPIVOTDATA("Sum of Old UG E-Learning",'Pivot Table for Fact Book'!$A$3,"State","WV","type",5,"Type2","Four-Year")</f>
        <v>54801</v>
      </c>
      <c r="K41" s="104">
        <f>GETPIVOTDATA("Sum of New UG E-Learning",'Pivot Table for Fact Book'!$A$3,"State","WV","type",5,"Type2","Four-Year")</f>
        <v>101672</v>
      </c>
      <c r="L41" s="103">
        <f>GETPIVOTDATA("Sum of Old UG E-Learning",'Pivot Table for Fact Book'!$A$3,"State","WV","type",6,"Type2","Four-Year")</f>
        <v>51881</v>
      </c>
      <c r="M41" s="104">
        <f>GETPIVOTDATA("Sum of New UG E-Learning",'Pivot Table for Fact Book'!$A$3,"State","WV","type",6,"Type2","Four-Year")</f>
        <v>66152</v>
      </c>
      <c r="N41" s="103">
        <f>GETPIVOTDATA("Sum of Old UG E-Learning",'Pivot Table for Fact Book'!$A$3,"State","WV","type",15,"Type2","Four-Year")</f>
        <v>0</v>
      </c>
      <c r="O41" s="104">
        <f>GETPIVOTDATA("Sum of New UG E-Learning",'Pivot Table for Fact Book'!$A$3,"State","WV","type",15,"Type2","Four-Year")</f>
        <v>0</v>
      </c>
      <c r="P41" s="105">
        <f>GETPIVOTDATA("Sum of Old UG E-Learning",'Pivot Table for Fact Book'!$A$3,"State","WV","Type2","Four-Year")</f>
        <v>235009</v>
      </c>
      <c r="Q41" s="105">
        <f>GETPIVOTDATA("Sum of New UG E-Learning",'Pivot Table for Fact Book'!$A$3,"State","WV","Type2","Four-Year")</f>
        <v>542719</v>
      </c>
      <c r="R41" s="103">
        <f>GETPIVOTDATA("Sum of Old UG E-Learning",'Pivot Table for Fact Book'!$A$3,"State","WV","type",7,"Type2","Two-Year")</f>
        <v>31804</v>
      </c>
      <c r="S41" s="104">
        <f>GETPIVOTDATA("Sum of New UG E-Learning",'Pivot Table for Fact Book'!$A$3,"State","WV","type",7,"Type2","Two-Year")</f>
        <v>32421</v>
      </c>
      <c r="T41" s="104">
        <f>GETPIVOTDATA("Sum of Old UG E-Learning",'Pivot Table for Fact Book'!$A$3,"State","WV","type",8,"Type2","Two-Year")</f>
        <v>0</v>
      </c>
      <c r="U41" s="104">
        <f>GETPIVOTDATA("Sum of New UG E-Learning",'Pivot Table for Fact Book'!$A$3,"State","WV","type",8,"Type2","Two-Year")</f>
        <v>0</v>
      </c>
      <c r="V41" s="104">
        <f>GETPIVOTDATA("Sum of Old UG E-Learning",'Pivot Table for Fact Book'!$A$3,"State","WV","type",9,"Type2","Two-Year")</f>
        <v>14992</v>
      </c>
      <c r="W41" s="104">
        <f>GETPIVOTDATA("Sum of New UG E-Learning",'Pivot Table for Fact Book'!$A$3,"State","WV","type",9,"Type2","Two-Year")</f>
        <v>28062</v>
      </c>
      <c r="X41" s="104">
        <f>GETPIVOTDATA("Sum of Old UG E-Learning",'Pivot Table for Fact Book'!$A$3,"State","WV","type",10,"Type2","Two-Year")</f>
        <v>74363</v>
      </c>
      <c r="Y41" s="104">
        <f>GETPIVOTDATA("Sum of New UG E-Learning",'Pivot Table for Fact Book'!$A$3,"State","WV","type",10,"Type2","Two-Year")</f>
        <v>102350</v>
      </c>
      <c r="Z41" s="106">
        <f>GETPIVOTDATA("Sum of Old UG E-Learning",'Pivot Table for Fact Book'!$A$3,"State","WV","Type2","Two-Year")</f>
        <v>121159</v>
      </c>
      <c r="AA41" s="106">
        <f>GETPIVOTDATA("Sum of New UG E-Learning",'Pivot Table for Fact Book'!$A$3,"State","WV","Type2","Two-Year")</f>
        <v>162833</v>
      </c>
      <c r="AB41" s="103">
        <f>+GETPIVOTDATA("Sum of Old UG E-Learning",'Pivot Table for Fact Book'!$A$3,"State","WV","type",12,"type2","Techncial")</f>
        <v>0</v>
      </c>
      <c r="AC41" s="104">
        <f>+GETPIVOTDATA("Sum of New UG E-Learning",'Pivot Table for Fact Book'!$A$3,"State","WV","type",12,"type2","Techncial")</f>
        <v>0</v>
      </c>
      <c r="AD41" s="104">
        <f>+GETPIVOTDATA("Sum of Old UG E-Learning",'Pivot Table for Fact Book'!$A$3,"State","WV","type",13,"type2","Techncial")</f>
        <v>0</v>
      </c>
      <c r="AE41" s="104">
        <f>+GETPIVOTDATA("Sum of New UG E-Learning",'Pivot Table for Fact Book'!$A$3,"State","WV","type",13,"type2","Techncial")</f>
        <v>0</v>
      </c>
      <c r="AF41" s="108">
        <f>+GETPIVOTDATA("Sum of Old UG E-Learning",'Pivot Table for Fact Book'!$A$3,"State","WV","type2","Techncial")</f>
        <v>0</v>
      </c>
      <c r="AG41" s="108">
        <f>+GETPIVOTDATA("Sum of New UG E-Learning",'Pivot Table for Fact Book'!$A$3,"State","WV","type2","Techncial")</f>
        <v>0</v>
      </c>
    </row>
    <row r="43" spans="1:33">
      <c r="A43" s="109" t="s">
        <v>635</v>
      </c>
    </row>
    <row r="44" spans="1:33">
      <c r="B44" s="111" t="s">
        <v>614</v>
      </c>
      <c r="C44" s="112"/>
      <c r="D44" s="112"/>
      <c r="E44" s="112"/>
      <c r="F44" s="112"/>
      <c r="G44" s="112"/>
      <c r="H44" s="112"/>
      <c r="I44" s="112"/>
      <c r="J44" s="112"/>
      <c r="K44" s="112"/>
      <c r="L44" s="112"/>
      <c r="M44" s="112"/>
      <c r="N44" s="112"/>
      <c r="O44" s="112"/>
      <c r="P44" s="112"/>
      <c r="Q44" s="112"/>
    </row>
    <row r="45" spans="1:33">
      <c r="B45" s="117">
        <v>1</v>
      </c>
      <c r="C45" s="118"/>
      <c r="D45" s="117">
        <v>2</v>
      </c>
      <c r="E45" s="118"/>
      <c r="F45" s="117">
        <v>3</v>
      </c>
      <c r="G45" s="118"/>
      <c r="H45" s="117">
        <v>4</v>
      </c>
      <c r="I45" s="118"/>
      <c r="J45" s="117">
        <v>5</v>
      </c>
      <c r="K45" s="118"/>
      <c r="L45" s="117">
        <v>6</v>
      </c>
      <c r="M45" s="118"/>
      <c r="N45" s="117">
        <v>15</v>
      </c>
      <c r="O45" s="118"/>
      <c r="P45" s="117" t="s">
        <v>617</v>
      </c>
      <c r="Q45" s="119"/>
    </row>
    <row r="46" spans="1:33" s="133" customFormat="1">
      <c r="A46" s="132"/>
      <c r="B46" s="125">
        <v>2019</v>
      </c>
      <c r="C46" s="126">
        <v>2020</v>
      </c>
      <c r="D46" s="125">
        <v>2019</v>
      </c>
      <c r="E46" s="126">
        <v>2020</v>
      </c>
      <c r="F46" s="125">
        <v>2019</v>
      </c>
      <c r="G46" s="126">
        <v>2020</v>
      </c>
      <c r="H46" s="125">
        <v>2019</v>
      </c>
      <c r="I46" s="126">
        <v>2020</v>
      </c>
      <c r="J46" s="125">
        <v>2019</v>
      </c>
      <c r="K46" s="126">
        <v>2020</v>
      </c>
      <c r="L46" s="125">
        <v>2019</v>
      </c>
      <c r="M46" s="126">
        <v>2020</v>
      </c>
      <c r="N46" s="125">
        <v>2019</v>
      </c>
      <c r="O46" s="126">
        <v>2020</v>
      </c>
      <c r="P46" s="125">
        <v>2019</v>
      </c>
      <c r="Q46" s="126">
        <v>2020</v>
      </c>
      <c r="R46" s="127">
        <v>2019</v>
      </c>
      <c r="S46" s="128">
        <v>2020</v>
      </c>
      <c r="T46" s="127">
        <v>2019</v>
      </c>
      <c r="U46" s="128">
        <v>2020</v>
      </c>
      <c r="V46" s="127">
        <v>2019</v>
      </c>
      <c r="W46" s="128">
        <v>2020</v>
      </c>
      <c r="X46" s="127">
        <v>2019</v>
      </c>
      <c r="Y46" s="128">
        <v>2020</v>
      </c>
      <c r="Z46" s="127">
        <v>2019</v>
      </c>
      <c r="AA46" s="128">
        <v>2020</v>
      </c>
      <c r="AB46" s="127">
        <v>2019</v>
      </c>
      <c r="AC46" s="129">
        <v>2020</v>
      </c>
      <c r="AD46" s="127">
        <v>2019</v>
      </c>
      <c r="AE46" s="129">
        <v>2020</v>
      </c>
      <c r="AF46" s="127">
        <v>2019</v>
      </c>
      <c r="AG46" s="129">
        <v>2020</v>
      </c>
    </row>
    <row r="47" spans="1:33">
      <c r="A47" s="110" t="s">
        <v>618</v>
      </c>
      <c r="B47" s="97">
        <f>GETPIVOTDATA("Sum of Old-Tot G SCH Calc",'Pivot Table for Fact Book'!$A$3,"State","AL","type",1,"Type2","Four-Year")</f>
        <v>265766</v>
      </c>
      <c r="C47" s="98">
        <f>GETPIVOTDATA("Sum of New-Tot G SCH Calc",'Pivot Table for Fact Book'!$A$3,"State","AL","type",1,"Type2","Four-Year")</f>
        <v>273769</v>
      </c>
      <c r="D47" s="97">
        <f>GETPIVOTDATA("Sum of Old-Tot G SCH Calc",'Pivot Table for Fact Book'!$A$3,"State","AL","type",2,"Type2","Four-Year")</f>
        <v>48614</v>
      </c>
      <c r="E47" s="98">
        <f>GETPIVOTDATA("Sum of New-Tot G SCH Calc",'Pivot Table for Fact Book'!$A$3,"State","AL","type",2,"Type2","Four-Year")</f>
        <v>50120</v>
      </c>
      <c r="F47" s="97">
        <f>GETPIVOTDATA("Sum of Old-Tot G SCH Calc",'Pivot Table for Fact Book'!$A$3,"State","AL","type",3,"Type2","Four-Year")</f>
        <v>111448</v>
      </c>
      <c r="G47" s="98">
        <f>GETPIVOTDATA("Sum of New-Tot G SCH Calc",'Pivot Table for Fact Book'!$A$3,"State","AL","type",3,"Type2","Four-Year")</f>
        <v>140240</v>
      </c>
      <c r="H47" s="97">
        <f>GETPIVOTDATA("Sum of Old-Tot G SCH Calc",'Pivot Table for Fact Book'!$A$3,"State","AL","type",4,"Type2","Four-Year")</f>
        <v>77205</v>
      </c>
      <c r="I47" s="98">
        <f>GETPIVOTDATA("Sum of New-Tot G SCH Calc",'Pivot Table for Fact Book'!$A$3,"State","AL","type",4,"Type2","Four-Year")</f>
        <v>80213</v>
      </c>
      <c r="J47" s="97">
        <f>GETPIVOTDATA("Sum of Old-Tot G SCH Calc",'Pivot Table for Fact Book'!$A$3,"State","AL","type",5,"Type2","Four-Year")</f>
        <v>5966</v>
      </c>
      <c r="K47" s="98">
        <f>GETPIVOTDATA("Sum of New-Tot G SCH Calc",'Pivot Table for Fact Book'!$A$3,"State","AL","type",5,"Type2","Four-Year")</f>
        <v>6659</v>
      </c>
      <c r="L47" s="97">
        <f>GETPIVOTDATA("Sum of Old-Tot G SCH Calc",'Pivot Table for Fact Book'!$A$3,"State","AL","type",6,"Type2","Four-Year")</f>
        <v>2415</v>
      </c>
      <c r="M47" s="98">
        <f>GETPIVOTDATA("Sum of New-Tot G SCH Calc",'Pivot Table for Fact Book'!$A$3,"State","AL","type",6,"Type2","Four-Year")</f>
        <v>2982</v>
      </c>
      <c r="N47" s="97">
        <f>GETPIVOTDATA("Sum of Old-Tot G SCH Calc",'Pivot Table for Fact Book'!$A$3,"State","AL","type",15,"Type2","Four-Year")</f>
        <v>0</v>
      </c>
      <c r="O47" s="98">
        <f>GETPIVOTDATA("Sum of New-Tot G SCH Calc",'Pivot Table for Fact Book'!$A$3,"State","AL","type",15,"Type2","Four-Year")</f>
        <v>0</v>
      </c>
      <c r="P47" s="99">
        <f>GETPIVOTDATA("Sum of Old-Tot G SCH Calc",'Pivot Table for Fact Book'!$A$3,"State","AL","Type2","Four-Year")</f>
        <v>511414</v>
      </c>
      <c r="Q47" s="99">
        <f>GETPIVOTDATA("Sum of New-Tot G SCH Calc",'Pivot Table for Fact Book'!$A$3,"State","AL","Type2","Four-Year")</f>
        <v>553983</v>
      </c>
    </row>
    <row r="48" spans="1:33">
      <c r="A48" s="110" t="s">
        <v>619</v>
      </c>
      <c r="B48" s="97">
        <f>GETPIVOTDATA("Sum of Old-Tot G SCH Calc",'Pivot Table for Fact Book'!$A$3,"State","AR","type",1,"Type2","Four-Year")</f>
        <v>76358</v>
      </c>
      <c r="C48" s="98">
        <f>GETPIVOTDATA("Sum of New-Tot G SCH Calc",'Pivot Table for Fact Book'!$A$3,"State","AR","type",1,"Type2","Four-Year")</f>
        <v>79052</v>
      </c>
      <c r="D48" s="97">
        <f>GETPIVOTDATA("Sum of Old-Tot G SCH Calc",'Pivot Table for Fact Book'!$A$3,"State","AR","type",2,"Type2","Four-Year")</f>
        <v>41407</v>
      </c>
      <c r="E48" s="98">
        <f>GETPIVOTDATA("Sum of New-Tot G SCH Calc",'Pivot Table for Fact Book'!$A$3,"State","AR","type",2,"Type2","Four-Year")</f>
        <v>36529</v>
      </c>
      <c r="F48" s="97">
        <f>GETPIVOTDATA("Sum of Old-Tot G SCH Calc",'Pivot Table for Fact Book'!$A$3,"State","AR","type",3,"Type2","Four-Year")</f>
        <v>152757</v>
      </c>
      <c r="G48" s="98">
        <f>GETPIVOTDATA("Sum of New-Tot G SCH Calc",'Pivot Table for Fact Book'!$A$3,"State","AR","type",3,"Type2","Four-Year")</f>
        <v>154623</v>
      </c>
      <c r="H48" s="97">
        <f>GETPIVOTDATA("Sum of Old-Tot G SCH Calc",'Pivot Table for Fact Book'!$A$3,"State","AR","type",4,"Type2","Four-Year")</f>
        <v>31589</v>
      </c>
      <c r="I48" s="98">
        <f>GETPIVOTDATA("Sum of New-Tot G SCH Calc",'Pivot Table for Fact Book'!$A$3,"State","AR","type",4,"Type2","Four-Year")</f>
        <v>31771</v>
      </c>
      <c r="J48" s="97">
        <f>GETPIVOTDATA("Sum of Old-Tot G SCH Calc",'Pivot Table for Fact Book'!$A$3,"State","AR","type",5,"Type2","Four-Year")</f>
        <v>0</v>
      </c>
      <c r="K48" s="98">
        <f>GETPIVOTDATA("Sum of New-Tot G SCH Calc",'Pivot Table for Fact Book'!$A$3,"State","AR","type",5,"Type2","Four-Year")</f>
        <v>0</v>
      </c>
      <c r="L48" s="97">
        <f>GETPIVOTDATA("Sum of Old-Tot G SCH Calc",'Pivot Table for Fact Book'!$A$3,"State","AR","type",6,"Type2","Four-Year")</f>
        <v>2127</v>
      </c>
      <c r="M48" s="98">
        <f>GETPIVOTDATA("Sum of New-Tot G SCH Calc",'Pivot Table for Fact Book'!$A$3,"State","AR","type",6,"Type2","Four-Year")</f>
        <v>2592</v>
      </c>
      <c r="N48" s="97">
        <f>GETPIVOTDATA("Sum of Old-Tot G SCH Calc",'Pivot Table for Fact Book'!$A$3,"State","AR","type",15,"Type2","Four-Year")</f>
        <v>65678</v>
      </c>
      <c r="O48" s="98">
        <f>GETPIVOTDATA("Sum of New-Tot G SCH Calc",'Pivot Table for Fact Book'!$A$3,"State","AR","type",15,"Type2","Four-Year")</f>
        <v>63129</v>
      </c>
      <c r="P48" s="99">
        <f>GETPIVOTDATA("Sum of Old-Tot G SCH Calc",'Pivot Table for Fact Book'!$A$3,"State","AR","Type2","Four-Year")</f>
        <v>369916</v>
      </c>
      <c r="Q48" s="99">
        <f>GETPIVOTDATA("Sum of New-Tot G SCH Calc",'Pivot Table for Fact Book'!$A$3,"State","AR","Type2","Four-Year")</f>
        <v>367696</v>
      </c>
    </row>
    <row r="49" spans="1:17">
      <c r="A49" s="110" t="s">
        <v>620</v>
      </c>
      <c r="B49" s="97">
        <f>GETPIVOTDATA("Sum of Old-Tot G SCH Calc",'Pivot Table for Fact Book'!$A$3,"State","DE","type",1,"Type2","Four-Year")</f>
        <v>75200</v>
      </c>
      <c r="C49" s="98">
        <f>GETPIVOTDATA("Sum of New-Tot G SCH Calc",'Pivot Table for Fact Book'!$A$3,"State","DE","type",1,"Type2","Four-Year")</f>
        <v>74608</v>
      </c>
      <c r="D49" s="97">
        <f>GETPIVOTDATA("Sum of Old-Tot G SCH Calc",'Pivot Table for Fact Book'!$A$3,"State","DE","type",2,"Type2","Four-Year")</f>
        <v>0</v>
      </c>
      <c r="E49" s="98">
        <f>GETPIVOTDATA("Sum of New-Tot G SCH Calc",'Pivot Table for Fact Book'!$A$3,"State","DE","type",2,"Type2","Four-Year")</f>
        <v>0</v>
      </c>
      <c r="F49" s="97">
        <f>GETPIVOTDATA("Sum of Old-Tot G SCH Calc",'Pivot Table for Fact Book'!$A$3,"State","DE","type",3,"Type2","Four-Year")</f>
        <v>7243</v>
      </c>
      <c r="G49" s="98">
        <f>GETPIVOTDATA("Sum of New-Tot G SCH Calc",'Pivot Table for Fact Book'!$A$3,"State","DE","type",3,"Type2","Four-Year")</f>
        <v>9354</v>
      </c>
      <c r="H49" s="97">
        <f>GETPIVOTDATA("Sum of Old-Tot G SCH Calc",'Pivot Table for Fact Book'!$A$3,"State","DE","type",4,"Type2","Four-Year")</f>
        <v>0</v>
      </c>
      <c r="I49" s="98">
        <f>GETPIVOTDATA("Sum of New-Tot G SCH Calc",'Pivot Table for Fact Book'!$A$3,"State","DE","type",4,"Type2","Four-Year")</f>
        <v>0</v>
      </c>
      <c r="J49" s="97">
        <f>GETPIVOTDATA("Sum of Old-Tot G SCH Calc",'Pivot Table for Fact Book'!$A$3,"State","DE","type",5,"Type2","Four-Year")</f>
        <v>0</v>
      </c>
      <c r="K49" s="98">
        <f>GETPIVOTDATA("Sum of New-Tot G SCH Calc",'Pivot Table for Fact Book'!$A$3,"State","DE","type",5,"Type2","Four-Year")</f>
        <v>0</v>
      </c>
      <c r="L49" s="97">
        <f>GETPIVOTDATA("Sum of Old-Tot G SCH Calc",'Pivot Table for Fact Book'!$A$3,"State","DE","type",6,"Type2","Four-Year")</f>
        <v>0</v>
      </c>
      <c r="M49" s="98">
        <f>GETPIVOTDATA("Sum of New-Tot G SCH Calc",'Pivot Table for Fact Book'!$A$3,"State","DE","type",6,"Type2","Four-Year")</f>
        <v>0</v>
      </c>
      <c r="N49" s="97">
        <f>GETPIVOTDATA("Sum of Old-Tot G SCH Calc",'Pivot Table for Fact Book'!$A$3,"State","DE","type",15,"Type2","Four-Year")</f>
        <v>0</v>
      </c>
      <c r="O49" s="98">
        <f>GETPIVOTDATA("Sum of New-Tot G SCH Calc",'Pivot Table for Fact Book'!$A$3,"State","DE","type",15,"Type2","Four-Year")</f>
        <v>0</v>
      </c>
      <c r="P49" s="99">
        <f>GETPIVOTDATA("Sum of Old-Tot G SCH Calc",'Pivot Table for Fact Book'!$A$3,"State","DE","Type2","Four-Year")</f>
        <v>82443</v>
      </c>
      <c r="Q49" s="99">
        <f>GETPIVOTDATA("Sum of New-Tot G SCH Calc",'Pivot Table for Fact Book'!$A$3,"State","DE","Type2","Four-Year")</f>
        <v>83962</v>
      </c>
    </row>
    <row r="50" spans="1:17">
      <c r="A50" s="110" t="s">
        <v>621</v>
      </c>
      <c r="B50" s="97">
        <f>GETPIVOTDATA("Sum of Old-Tot G SCH Calc",'Pivot Table for Fact Book'!$A$3,"State","FL","type",1,"Type2","Four-Year")</f>
        <v>0</v>
      </c>
      <c r="C50" s="98">
        <f>GETPIVOTDATA("Sum of New-Tot G SCH Calc",'Pivot Table for Fact Book'!$A$3,"State","FL","type",1,"Type2","Four-Year")</f>
        <v>0</v>
      </c>
      <c r="D50" s="97">
        <f>GETPIVOTDATA("Sum of Old-Tot G SCH Calc",'Pivot Table for Fact Book'!$A$3,"State","FL","type",2,"Type2","Four-Year")</f>
        <v>0</v>
      </c>
      <c r="E50" s="98">
        <f>GETPIVOTDATA("Sum of New-Tot G SCH Calc",'Pivot Table for Fact Book'!$A$3,"State","FL","type",2,"Type2","Four-Year")</f>
        <v>0</v>
      </c>
      <c r="F50" s="97">
        <f>GETPIVOTDATA("Sum of Old-Tot G SCH Calc",'Pivot Table for Fact Book'!$A$3,"State","FL","type",3,"Type2","Four-Year")</f>
        <v>0</v>
      </c>
      <c r="G50" s="98">
        <f>GETPIVOTDATA("Sum of New-Tot G SCH Calc",'Pivot Table for Fact Book'!$A$3,"State","FL","type",3,"Type2","Four-Year")</f>
        <v>0</v>
      </c>
      <c r="H50" s="97">
        <f>GETPIVOTDATA("Sum of Old-Tot G SCH Calc",'Pivot Table for Fact Book'!$A$3,"State","FL","type",4,"Type2","Four-Year")</f>
        <v>0</v>
      </c>
      <c r="I50" s="98">
        <f>GETPIVOTDATA("Sum of New-Tot G SCH Calc",'Pivot Table for Fact Book'!$A$3,"State","FL","type",4,"Type2","Four-Year")</f>
        <v>0</v>
      </c>
      <c r="J50" s="97">
        <f>GETPIVOTDATA("Sum of Old-Tot G SCH Calc",'Pivot Table for Fact Book'!$A$3,"State","FL","type",5,"Type2","Four-Year")</f>
        <v>0</v>
      </c>
      <c r="K50" s="98">
        <f>GETPIVOTDATA("Sum of New-Tot G SCH Calc",'Pivot Table for Fact Book'!$A$3,"State","FL","type",5,"Type2","Four-Year")</f>
        <v>0</v>
      </c>
      <c r="L50" s="97">
        <f>GETPIVOTDATA("Sum of Old-Tot G SCH Calc",'Pivot Table for Fact Book'!$A$3,"State","FL","type",6,"Type2","Four-Year")</f>
        <v>0</v>
      </c>
      <c r="M50" s="98">
        <f>GETPIVOTDATA("Sum of New-Tot G SCH Calc",'Pivot Table for Fact Book'!$A$3,"State","FL","type",6,"Type2","Four-Year")</f>
        <v>0</v>
      </c>
      <c r="N50" s="97">
        <f>GETPIVOTDATA("Sum of Old-Tot G SCH Calc",'Pivot Table for Fact Book'!$A$3,"State","FL","type",15,"Type2","Four-Year")</f>
        <v>0</v>
      </c>
      <c r="O50" s="98">
        <f>GETPIVOTDATA("Sum of New-Tot G SCH Calc",'Pivot Table for Fact Book'!$A$3,"State","FL","type",15,"Type2","Four-Year")</f>
        <v>0</v>
      </c>
      <c r="P50" s="99">
        <f>GETPIVOTDATA("Sum of Old-Tot G SCH Calc",'Pivot Table for Fact Book'!$A$3,"State","FL","Type2","Four-Year")</f>
        <v>0</v>
      </c>
      <c r="Q50" s="99">
        <f>GETPIVOTDATA("Sum of New-Tot G SCH Calc",'Pivot Table for Fact Book'!$A$3,"State","FL","Type2","Four-Year")</f>
        <v>0</v>
      </c>
    </row>
    <row r="51" spans="1:17">
      <c r="A51" s="110" t="s">
        <v>622</v>
      </c>
      <c r="B51" s="97">
        <f>GETPIVOTDATA("Sum of Old-Tot G SCH Calc",'Pivot Table for Fact Book'!$A$3,"State","GA","type",1,"Type2","Four-Year")</f>
        <v>506143.2</v>
      </c>
      <c r="C51" s="98">
        <f>GETPIVOTDATA("Sum of New-Tot G SCH Calc",'Pivot Table for Fact Book'!$A$3,"State","GA","type",1,"Type2","Four-Year")</f>
        <v>510578.9</v>
      </c>
      <c r="D51" s="97">
        <f>GETPIVOTDATA("Sum of Old-Tot G SCH Calc",'Pivot Table for Fact Book'!$A$3,"State","GA","type",2,"Type2","Four-Year")</f>
        <v>375905.5</v>
      </c>
      <c r="E51" s="98">
        <f>GETPIVOTDATA("Sum of New-Tot G SCH Calc",'Pivot Table for Fact Book'!$A$3,"State","GA","type",2,"Type2","Four-Year")</f>
        <v>402738.5</v>
      </c>
      <c r="F51" s="97">
        <f>GETPIVOTDATA("Sum of Old-Tot G SCH Calc",'Pivot Table for Fact Book'!$A$3,"State","GA","type",3,"Type2","Four-Year")</f>
        <v>212499.1</v>
      </c>
      <c r="G51" s="98">
        <f>GETPIVOTDATA("Sum of New-Tot G SCH Calc",'Pivot Table for Fact Book'!$A$3,"State","GA","type",3,"Type2","Four-Year")</f>
        <v>227914</v>
      </c>
      <c r="H51" s="97">
        <f>GETPIVOTDATA("Sum of Old-Tot G SCH Calc",'Pivot Table for Fact Book'!$A$3,"State","GA","type",4,"Type2","Four-Year")</f>
        <v>291402</v>
      </c>
      <c r="I51" s="98">
        <f>GETPIVOTDATA("Sum of New-Tot G SCH Calc",'Pivot Table for Fact Book'!$A$3,"State","GA","type",4,"Type2","Four-Year")</f>
        <v>305038</v>
      </c>
      <c r="J51" s="97">
        <f>GETPIVOTDATA("Sum of Old-Tot G SCH Calc",'Pivot Table for Fact Book'!$A$3,"State","GA","type",5,"Type2","Four-Year")</f>
        <v>14787</v>
      </c>
      <c r="K51" s="98">
        <f>GETPIVOTDATA("Sum of New-Tot G SCH Calc",'Pivot Table for Fact Book'!$A$3,"State","GA","type",5,"Type2","Four-Year")</f>
        <v>16163</v>
      </c>
      <c r="L51" s="97">
        <f>GETPIVOTDATA("Sum of Old-Tot G SCH Calc",'Pivot Table for Fact Book'!$A$3,"State","GA","type",6,"Type2","Four-Year")</f>
        <v>0</v>
      </c>
      <c r="M51" s="98">
        <f>GETPIVOTDATA("Sum of New-Tot G SCH Calc",'Pivot Table for Fact Book'!$A$3,"State","GA","type",6,"Type2","Four-Year")</f>
        <v>0</v>
      </c>
      <c r="N51" s="97">
        <f>GETPIVOTDATA("Sum of Old-Tot G SCH Calc",'Pivot Table for Fact Book'!$A$3,"State","GA","type",15,"Type2","Four-Year")</f>
        <v>0</v>
      </c>
      <c r="O51" s="98">
        <f>GETPIVOTDATA("Sum of New-Tot G SCH Calc",'Pivot Table for Fact Book'!$A$3,"State","GA","type",15,"Type2","Four-Year")</f>
        <v>0</v>
      </c>
      <c r="P51" s="99">
        <f>GETPIVOTDATA("Sum of Old-Tot G SCH Calc",'Pivot Table for Fact Book'!$A$3,"State","GA","Type2","Four-Year")</f>
        <v>1400736.8</v>
      </c>
      <c r="Q51" s="99">
        <f>GETPIVOTDATA("Sum of New-Tot G SCH Calc",'Pivot Table for Fact Book'!$A$3,"State","GA","Type2","Four-Year")</f>
        <v>1462432.4</v>
      </c>
    </row>
    <row r="52" spans="1:17">
      <c r="A52" s="110" t="s">
        <v>623</v>
      </c>
      <c r="B52" s="97">
        <f>GETPIVOTDATA("Sum of Old-Tot G SCH Calc",'Pivot Table for Fact Book'!$A$3,"State","KY","type",1,"Type2","Four-Year")</f>
        <v>162753</v>
      </c>
      <c r="C52" s="98">
        <f>GETPIVOTDATA("Sum of New-Tot G SCH Calc",'Pivot Table for Fact Book'!$A$3,"State","KY","type",1,"Type2","Four-Year")</f>
        <v>169518</v>
      </c>
      <c r="D52" s="97">
        <f>GETPIVOTDATA("Sum of Old-Tot G SCH Calc",'Pivot Table for Fact Book'!$A$3,"State","KY","type",2,"Type2","Four-Year")</f>
        <v>0</v>
      </c>
      <c r="E52" s="98">
        <f>GETPIVOTDATA("Sum of New-Tot G SCH Calc",'Pivot Table for Fact Book'!$A$3,"State","KY","type",2,"Type2","Four-Year")</f>
        <v>0</v>
      </c>
      <c r="F52" s="97">
        <f>GETPIVOTDATA("Sum of Old-Tot G SCH Calc",'Pivot Table for Fact Book'!$A$3,"State","KY","type",3,"Type2","Four-Year")</f>
        <v>168411.5</v>
      </c>
      <c r="G52" s="98">
        <f>GETPIVOTDATA("Sum of New-Tot G SCH Calc",'Pivot Table for Fact Book'!$A$3,"State","KY","type",3,"Type2","Four-Year")</f>
        <v>185364</v>
      </c>
      <c r="H52" s="97">
        <f>GETPIVOTDATA("Sum of Old-Tot G SCH Calc",'Pivot Table for Fact Book'!$A$3,"State","KY","type",4,"Type2","Four-Year")</f>
        <v>1714.5</v>
      </c>
      <c r="I52" s="98">
        <f>GETPIVOTDATA("Sum of New-Tot G SCH Calc",'Pivot Table for Fact Book'!$A$3,"State","KY","type",4,"Type2","Four-Year")</f>
        <v>1914</v>
      </c>
      <c r="J52" s="97">
        <f>GETPIVOTDATA("Sum of Old-Tot G SCH Calc",'Pivot Table for Fact Book'!$A$3,"State","KY","type",5,"Type2","Four-Year")</f>
        <v>0</v>
      </c>
      <c r="K52" s="98">
        <f>GETPIVOTDATA("Sum of New-Tot G SCH Calc",'Pivot Table for Fact Book'!$A$3,"State","KY","type",5,"Type2","Four-Year")</f>
        <v>0</v>
      </c>
      <c r="L52" s="97">
        <f>GETPIVOTDATA("Sum of Old-Tot G SCH Calc",'Pivot Table for Fact Book'!$A$3,"State","KY","type",6,"Type2","Four-Year")</f>
        <v>0</v>
      </c>
      <c r="M52" s="98">
        <f>GETPIVOTDATA("Sum of New-Tot G SCH Calc",'Pivot Table for Fact Book'!$A$3,"State","KY","type",6,"Type2","Four-Year")</f>
        <v>0</v>
      </c>
      <c r="N52" s="97">
        <f>GETPIVOTDATA("Sum of Old-Tot G SCH Calc",'Pivot Table for Fact Book'!$A$3,"State","KY","type",15,"Type2","Four-Year")</f>
        <v>0</v>
      </c>
      <c r="O52" s="98">
        <f>GETPIVOTDATA("Sum of New-Tot G SCH Calc",'Pivot Table for Fact Book'!$A$3,"State","KY","type",15,"Type2","Four-Year")</f>
        <v>0</v>
      </c>
      <c r="P52" s="99">
        <f>GETPIVOTDATA("Sum of Old-Tot G SCH Calc",'Pivot Table for Fact Book'!$A$3,"State","KY","Type2","Four-Year")</f>
        <v>332879</v>
      </c>
      <c r="Q52" s="99">
        <f>GETPIVOTDATA("Sum of New-Tot G SCH Calc",'Pivot Table for Fact Book'!$A$3,"State","KY","Type2","Four-Year")</f>
        <v>356796</v>
      </c>
    </row>
    <row r="53" spans="1:17">
      <c r="A53" s="110" t="s">
        <v>624</v>
      </c>
      <c r="B53" s="97">
        <f>GETPIVOTDATA("Sum of Old-Tot G SCH Calc",'Pivot Table for Fact Book'!$A$3,"State","LA","type",1,"Type2","Four-Year")</f>
        <v>143983.50000000038</v>
      </c>
      <c r="C53" s="98">
        <f>GETPIVOTDATA("Sum of New-Tot G SCH Calc",'Pivot Table for Fact Book'!$A$3,"State","LA","type",1,"Type2","Four-Year")</f>
        <v>150237.00000000041</v>
      </c>
      <c r="D53" s="97">
        <f>GETPIVOTDATA("Sum of Old-Tot G SCH Calc",'Pivot Table for Fact Book'!$A$3,"State","LA","type",2,"Type2","Four-Year")</f>
        <v>84068.000000000015</v>
      </c>
      <c r="E53" s="98">
        <f>GETPIVOTDATA("Sum of New-Tot G SCH Calc",'Pivot Table for Fact Book'!$A$3,"State","LA","type",2,"Type2","Four-Year")</f>
        <v>86146.999999999971</v>
      </c>
      <c r="F53" s="97">
        <f>GETPIVOTDATA("Sum of Old-Tot G SCH Calc",'Pivot Table for Fact Book'!$A$3,"State","LA","type",3,"Type2","Four-Year")</f>
        <v>82058.999999999971</v>
      </c>
      <c r="G53" s="98">
        <f>GETPIVOTDATA("Sum of New-Tot G SCH Calc",'Pivot Table for Fact Book'!$A$3,"State","LA","type",3,"Type2","Four-Year")</f>
        <v>84497.999999999971</v>
      </c>
      <c r="H53" s="97">
        <f>GETPIVOTDATA("Sum of Old-Tot G SCH Calc",'Pivot Table for Fact Book'!$A$3,"State","LA","type",4,"Type2","Four-Year")</f>
        <v>140349.00000000003</v>
      </c>
      <c r="I53" s="98">
        <f>GETPIVOTDATA("Sum of New-Tot G SCH Calc",'Pivot Table for Fact Book'!$A$3,"State","LA","type",4,"Type2","Four-Year")</f>
        <v>167952.00000000003</v>
      </c>
      <c r="J53" s="97">
        <f>GETPIVOTDATA("Sum of Old-Tot G SCH Calc",'Pivot Table for Fact Book'!$A$3,"State","LA","type",5,"Type2","Four-Year")</f>
        <v>8874</v>
      </c>
      <c r="K53" s="98">
        <f>GETPIVOTDATA("Sum of New-Tot G SCH Calc",'Pivot Table for Fact Book'!$A$3,"State","LA","type",5,"Type2","Four-Year")</f>
        <v>7039</v>
      </c>
      <c r="L53" s="97">
        <f>GETPIVOTDATA("Sum of Old-Tot G SCH Calc",'Pivot Table for Fact Book'!$A$3,"State","LA","type",6,"Type2","Four-Year")</f>
        <v>0</v>
      </c>
      <c r="M53" s="98">
        <f>GETPIVOTDATA("Sum of New-Tot G SCH Calc",'Pivot Table for Fact Book'!$A$3,"State","LA","type",6,"Type2","Four-Year")</f>
        <v>0</v>
      </c>
      <c r="N53" s="97">
        <f>GETPIVOTDATA("Sum of Old-Tot G SCH Calc",'Pivot Table for Fact Book'!$A$3,"State","LA","type",15,"Type2","Four-Year")</f>
        <v>17788</v>
      </c>
      <c r="O53" s="98">
        <f>GETPIVOTDATA("Sum of New-Tot G SCH Calc",'Pivot Table for Fact Book'!$A$3,"State","LA","type",15,"Type2","Four-Year")</f>
        <v>21220.000000000051</v>
      </c>
      <c r="P53" s="99">
        <f>GETPIVOTDATA("Sum of Old-Tot G SCH Calc",'Pivot Table for Fact Book'!$A$3,"State","LA","Type2","Four-Year")</f>
        <v>477121.50000000035</v>
      </c>
      <c r="Q53" s="99">
        <f>GETPIVOTDATA("Sum of New-Tot G SCH Calc",'Pivot Table for Fact Book'!$A$3,"State","LA","Type2","Four-Year")</f>
        <v>517093.00000000041</v>
      </c>
    </row>
    <row r="54" spans="1:17">
      <c r="A54" s="110" t="s">
        <v>625</v>
      </c>
      <c r="B54" s="97">
        <f>GETPIVOTDATA("Sum of Old-Tot G SCH Calc",'Pivot Table for Fact Book'!$A$3,"State","MD","type",1,"Type2","Four-Year")</f>
        <v>154217</v>
      </c>
      <c r="C54" s="98">
        <f>GETPIVOTDATA("Sum of New-Tot G SCH Calc",'Pivot Table for Fact Book'!$A$3,"State","MD","type",1,"Type2","Four-Year")</f>
        <v>150008</v>
      </c>
      <c r="D54" s="97">
        <f>GETPIVOTDATA("Sum of Old-Tot G SCH Calc",'Pivot Table for Fact Book'!$A$3,"State","MD","type",2,"Type2","Four-Year")</f>
        <v>59432</v>
      </c>
      <c r="E54" s="98">
        <f>GETPIVOTDATA("Sum of New-Tot G SCH Calc",'Pivot Table for Fact Book'!$A$3,"State","MD","type",2,"Type2","Four-Year")</f>
        <v>62178</v>
      </c>
      <c r="F54" s="97">
        <f>GETPIVOTDATA("Sum of Old-Tot G SCH Calc",'Pivot Table for Fact Book'!$A$3,"State","MD","type",3,"Type2","Four-Year")</f>
        <v>85378.5</v>
      </c>
      <c r="G54" s="98">
        <f>GETPIVOTDATA("Sum of New-Tot G SCH Calc",'Pivot Table for Fact Book'!$A$3,"State","MD","type",3,"Type2","Four-Year")</f>
        <v>84361.5</v>
      </c>
      <c r="H54" s="97">
        <f>GETPIVOTDATA("Sum of Old-Tot G SCH Calc",'Pivot Table for Fact Book'!$A$3,"State","MD","type",4,"Type2","Four-Year")</f>
        <v>58280.5</v>
      </c>
      <c r="I54" s="98">
        <f>GETPIVOTDATA("Sum of New-Tot G SCH Calc",'Pivot Table for Fact Book'!$A$3,"State","MD","type",4,"Type2","Four-Year")</f>
        <v>60736.5</v>
      </c>
      <c r="J54" s="97">
        <f>GETPIVOTDATA("Sum of Old-Tot G SCH Calc",'Pivot Table for Fact Book'!$A$3,"State","MD","type",5,"Type2","Four-Year")</f>
        <v>4591</v>
      </c>
      <c r="K54" s="98">
        <f>GETPIVOTDATA("Sum of New-Tot G SCH Calc",'Pivot Table for Fact Book'!$A$3,"State","MD","type",5,"Type2","Four-Year")</f>
        <v>3776</v>
      </c>
      <c r="L54" s="97">
        <f>GETPIVOTDATA("Sum of Old-Tot G SCH Calc",'Pivot Table for Fact Book'!$A$3,"State","MD","type",6,"Type2","Four-Year")</f>
        <v>1122</v>
      </c>
      <c r="M54" s="98">
        <f>GETPIVOTDATA("Sum of New-Tot G SCH Calc",'Pivot Table for Fact Book'!$A$3,"State","MD","type",6,"Type2","Four-Year")</f>
        <v>889</v>
      </c>
      <c r="N54" s="97">
        <f>GETPIVOTDATA("Sum of Old-Tot G SCH Calc",'Pivot Table for Fact Book'!$A$3,"State","MD","type",15,"Type2","Four-Year")</f>
        <v>244291</v>
      </c>
      <c r="O54" s="98">
        <f>GETPIVOTDATA("Sum of New-Tot G SCH Calc",'Pivot Table for Fact Book'!$A$3,"State","MD","type",15,"Type2","Four-Year")</f>
        <v>267339</v>
      </c>
      <c r="P54" s="99">
        <f>GETPIVOTDATA("Sum of Old-Tot G SCH Calc",'Pivot Table for Fact Book'!$A$3,"State","MD","Type2","Four-Year")</f>
        <v>607312</v>
      </c>
      <c r="Q54" s="99">
        <f>GETPIVOTDATA("Sum of New-Tot G SCH Calc",'Pivot Table for Fact Book'!$A$3,"State","MD","Type2","Four-Year")</f>
        <v>629288</v>
      </c>
    </row>
    <row r="55" spans="1:17">
      <c r="A55" s="110" t="s">
        <v>626</v>
      </c>
      <c r="B55" s="97">
        <f>GETPIVOTDATA("Sum of Old-Tot G SCH Calc",'Pivot Table for Fact Book'!$A$3,"State","MS","type",1,"Type2","Four-Year")</f>
        <v>172433</v>
      </c>
      <c r="C55" s="98">
        <f>GETPIVOTDATA("Sum of New-Tot G SCH Calc",'Pivot Table for Fact Book'!$A$3,"State","MS","type",1,"Type2","Four-Year")</f>
        <v>188336</v>
      </c>
      <c r="D55" s="97">
        <f>GETPIVOTDATA("Sum of Old-Tot G SCH Calc",'Pivot Table for Fact Book'!$A$3,"State","MS","type",2,"Type2","Four-Year")</f>
        <v>29693</v>
      </c>
      <c r="E55" s="98">
        <f>GETPIVOTDATA("Sum of New-Tot G SCH Calc",'Pivot Table for Fact Book'!$A$3,"State","MS","type",2,"Type2","Four-Year")</f>
        <v>34452</v>
      </c>
      <c r="F55" s="97">
        <f>GETPIVOTDATA("Sum of Old-Tot G SCH Calc",'Pivot Table for Fact Book'!$A$3,"State","MS","type",3,"Type2","Four-Year")</f>
        <v>0</v>
      </c>
      <c r="G55" s="98">
        <f>GETPIVOTDATA("Sum of New-Tot G SCH Calc",'Pivot Table for Fact Book'!$A$3,"State","MS","type",3,"Type2","Four-Year")</f>
        <v>0</v>
      </c>
      <c r="H55" s="97">
        <f>GETPIVOTDATA("Sum of Old-Tot G SCH Calc",'Pivot Table for Fact Book'!$A$3,"State","MS","type",4,"Type2","Four-Year")</f>
        <v>32955</v>
      </c>
      <c r="I55" s="98">
        <f>GETPIVOTDATA("Sum of New-Tot G SCH Calc",'Pivot Table for Fact Book'!$A$3,"State","MS","type",4,"Type2","Four-Year")</f>
        <v>35177</v>
      </c>
      <c r="J55" s="97">
        <f>GETPIVOTDATA("Sum of Old-Tot G SCH Calc",'Pivot Table for Fact Book'!$A$3,"State","MS","type",5,"Type2","Four-Year")</f>
        <v>0</v>
      </c>
      <c r="K55" s="98">
        <f>GETPIVOTDATA("Sum of New-Tot G SCH Calc",'Pivot Table for Fact Book'!$A$3,"State","MS","type",5,"Type2","Four-Year")</f>
        <v>0</v>
      </c>
      <c r="L55" s="97">
        <f>GETPIVOTDATA("Sum of Old-Tot G SCH Calc",'Pivot Table for Fact Book'!$A$3,"State","MS","type",6,"Type2","Four-Year")</f>
        <v>0</v>
      </c>
      <c r="M55" s="98">
        <f>GETPIVOTDATA("Sum of New-Tot G SCH Calc",'Pivot Table for Fact Book'!$A$3,"State","MS","type",6,"Type2","Four-Year")</f>
        <v>0</v>
      </c>
      <c r="N55" s="97">
        <f>GETPIVOTDATA("Sum of Old-Tot G SCH Calc",'Pivot Table for Fact Book'!$A$3,"State","MS","type",15,"Type2","Four-Year")</f>
        <v>0</v>
      </c>
      <c r="O55" s="98">
        <f>GETPIVOTDATA("Sum of New-Tot G SCH Calc",'Pivot Table for Fact Book'!$A$3,"State","MS","type",15,"Type2","Four-Year")</f>
        <v>0</v>
      </c>
      <c r="P55" s="99">
        <f>GETPIVOTDATA("Sum of Old-Tot G SCH Calc",'Pivot Table for Fact Book'!$A$3,"State","MS","Type2","Four-Year")</f>
        <v>235081</v>
      </c>
      <c r="Q55" s="99">
        <f>GETPIVOTDATA("Sum of New-Tot G SCH Calc",'Pivot Table for Fact Book'!$A$3,"State","MS","Type2","Four-Year")</f>
        <v>257965</v>
      </c>
    </row>
    <row r="56" spans="1:17">
      <c r="A56" s="110" t="s">
        <v>627</v>
      </c>
      <c r="B56" s="97">
        <f>GETPIVOTDATA("Sum of Old-Tot G SCH Calc",'Pivot Table for Fact Book'!$A$3,"State","NC","type",1,"Type2","Four-Year")</f>
        <v>520752.5</v>
      </c>
      <c r="C56" s="98">
        <f>GETPIVOTDATA("Sum of New-Tot G SCH Calc",'Pivot Table for Fact Book'!$A$3,"State","NC","type",1,"Type2","Four-Year")</f>
        <v>513065</v>
      </c>
      <c r="D56" s="97">
        <f>GETPIVOTDATA("Sum of Old-Tot G SCH Calc",'Pivot Table for Fact Book'!$A$3,"State","NC","type",2,"Type2","Four-Year")</f>
        <v>87185</v>
      </c>
      <c r="E56" s="98">
        <f>GETPIVOTDATA("Sum of New-Tot G SCH Calc",'Pivot Table for Fact Book'!$A$3,"State","NC","type",2,"Type2","Four-Year")</f>
        <v>89463</v>
      </c>
      <c r="F56" s="97">
        <f>GETPIVOTDATA("Sum of Old-Tot G SCH Calc",'Pivot Table for Fact Book'!$A$3,"State","NC","type",3,"Type2","Four-Year")</f>
        <v>173820</v>
      </c>
      <c r="G56" s="98">
        <f>GETPIVOTDATA("Sum of New-Tot G SCH Calc",'Pivot Table for Fact Book'!$A$3,"State","NC","type",3,"Type2","Four-Year")</f>
        <v>189296</v>
      </c>
      <c r="H56" s="97">
        <f>GETPIVOTDATA("Sum of Old-Tot G SCH Calc",'Pivot Table for Fact Book'!$A$3,"State","NC","type",4,"Type2","Four-Year")</f>
        <v>14338</v>
      </c>
      <c r="I56" s="98">
        <f>GETPIVOTDATA("Sum of New-Tot G SCH Calc",'Pivot Table for Fact Book'!$A$3,"State","NC","type",4,"Type2","Four-Year")</f>
        <v>17585</v>
      </c>
      <c r="J56" s="97">
        <f>GETPIVOTDATA("Sum of Old-Tot G SCH Calc",'Pivot Table for Fact Book'!$A$3,"State","NC","type",5,"Type2","Four-Year")</f>
        <v>33184</v>
      </c>
      <c r="K56" s="98">
        <f>GETPIVOTDATA("Sum of New-Tot G SCH Calc",'Pivot Table for Fact Book'!$A$3,"State","NC","type",5,"Type2","Four-Year")</f>
        <v>40640</v>
      </c>
      <c r="L56" s="97">
        <f>GETPIVOTDATA("Sum of Old-Tot G SCH Calc",'Pivot Table for Fact Book'!$A$3,"State","NC","type",6,"Type2","Four-Year")</f>
        <v>1441</v>
      </c>
      <c r="M56" s="98">
        <f>GETPIVOTDATA("Sum of New-Tot G SCH Calc",'Pivot Table for Fact Book'!$A$3,"State","NC","type",6,"Type2","Four-Year")</f>
        <v>1659</v>
      </c>
      <c r="N56" s="97">
        <f>GETPIVOTDATA("Sum of Old-Tot G SCH Calc",'Pivot Table for Fact Book'!$A$3,"State","NC","type",15,"Type2","Four-Year")</f>
        <v>3822</v>
      </c>
      <c r="O56" s="98">
        <f>GETPIVOTDATA("Sum of New-Tot G SCH Calc",'Pivot Table for Fact Book'!$A$3,"State","NC","type",15,"Type2","Four-Year")</f>
        <v>3672</v>
      </c>
      <c r="P56" s="99">
        <f>GETPIVOTDATA("Sum of Old-Tot G SCH Calc",'Pivot Table for Fact Book'!$A$3,"State","NC","Type2","Four-Year")</f>
        <v>834542.5</v>
      </c>
      <c r="Q56" s="99">
        <f>GETPIVOTDATA("Sum of New-Tot G SCH Calc",'Pivot Table for Fact Book'!$A$3,"State","NC","Type2","Four-Year")</f>
        <v>855380</v>
      </c>
    </row>
    <row r="57" spans="1:17">
      <c r="A57" s="110" t="s">
        <v>628</v>
      </c>
      <c r="B57" s="97">
        <f>GETPIVOTDATA("Sum of Old-Tot G SCH Calc",'Pivot Table for Fact Book'!$A$3,"State","OK","type",1,"Type2","Four-Year")</f>
        <v>0</v>
      </c>
      <c r="C57" s="98">
        <f>GETPIVOTDATA("Sum of New-Tot G SCH Calc",'Pivot Table for Fact Book'!$A$3,"State","OK","type",1,"Type2","Four-Year")</f>
        <v>0</v>
      </c>
      <c r="D57" s="97">
        <f>GETPIVOTDATA("Sum of Old-Tot G SCH Calc",'Pivot Table for Fact Book'!$A$3,"State","OK","type",2,"Type2","Four-Year")</f>
        <v>0</v>
      </c>
      <c r="E57" s="98">
        <f>GETPIVOTDATA("Sum of New-Tot G SCH Calc",'Pivot Table for Fact Book'!$A$3,"State","OK","type",2,"Type2","Four-Year")</f>
        <v>0</v>
      </c>
      <c r="F57" s="97">
        <f>GETPIVOTDATA("Sum of Old-Tot G SCH Calc",'Pivot Table for Fact Book'!$A$3,"State","OK","type",3,"Type2","Four-Year")</f>
        <v>0</v>
      </c>
      <c r="G57" s="98">
        <f>GETPIVOTDATA("Sum of New-Tot G SCH Calc",'Pivot Table for Fact Book'!$A$3,"State","OK","type",3,"Type2","Four-Year")</f>
        <v>0</v>
      </c>
      <c r="H57" s="97">
        <f>GETPIVOTDATA("Sum of Old-Tot G SCH Calc",'Pivot Table for Fact Book'!$A$3,"State","OK","type",4,"Type2","Four-Year")</f>
        <v>0</v>
      </c>
      <c r="I57" s="98">
        <f>GETPIVOTDATA("Sum of New-Tot G SCH Calc",'Pivot Table for Fact Book'!$A$3,"State","OK","type",4,"Type2","Four-Year")</f>
        <v>0</v>
      </c>
      <c r="J57" s="97">
        <f>GETPIVOTDATA("Sum of Old-Tot G SCH Calc",'Pivot Table for Fact Book'!$A$3,"State","OK","type",5,"Type2","Four-Year")</f>
        <v>0</v>
      </c>
      <c r="K57" s="98">
        <f>GETPIVOTDATA("Sum of New-Tot G SCH Calc",'Pivot Table for Fact Book'!$A$3,"State","OK","type",5,"Type2","Four-Year")</f>
        <v>0</v>
      </c>
      <c r="L57" s="97">
        <f>GETPIVOTDATA("Sum of Old-Tot G SCH Calc",'Pivot Table for Fact Book'!$A$3,"State","OK","type",6,"Type2","Four-Year")</f>
        <v>0</v>
      </c>
      <c r="M57" s="98">
        <f>GETPIVOTDATA("Sum of New-Tot G SCH Calc",'Pivot Table for Fact Book'!$A$3,"State","OK","type",6,"Type2","Four-Year")</f>
        <v>0</v>
      </c>
      <c r="N57" s="97">
        <f>GETPIVOTDATA("Sum of Old-Tot G SCH Calc",'Pivot Table for Fact Book'!$A$3,"State","OK","type",15,"Type2","Four-Year")</f>
        <v>0</v>
      </c>
      <c r="O57" s="98">
        <f>GETPIVOTDATA("Sum of New-Tot G SCH Calc",'Pivot Table for Fact Book'!$A$3,"State","OK","type",15,"Type2","Four-Year")</f>
        <v>0</v>
      </c>
      <c r="P57" s="99">
        <f>GETPIVOTDATA("Sum of Old-Tot G SCH Calc",'Pivot Table for Fact Book'!$A$3,"State","OK","Type2","Four-Year")</f>
        <v>0</v>
      </c>
      <c r="Q57" s="99">
        <f>GETPIVOTDATA("Sum of New-Tot G SCH Calc",'Pivot Table for Fact Book'!$A$3,"State","OK","Type2","Four-Year")</f>
        <v>0</v>
      </c>
    </row>
    <row r="58" spans="1:17">
      <c r="A58" s="110" t="s">
        <v>629</v>
      </c>
      <c r="B58" s="97">
        <f>GETPIVOTDATA("Sum of Old-Tot G SCH Calc",'Pivot Table for Fact Book'!$A$3,"State","SC","type",1,"Type2","Four-Year")</f>
        <v>272284</v>
      </c>
      <c r="C58" s="98">
        <f>GETPIVOTDATA("Sum of New-Tot G SCH Calc",'Pivot Table for Fact Book'!$A$3,"State","SC","type",1,"Type2","Four-Year")</f>
        <v>267031</v>
      </c>
      <c r="D58" s="97">
        <f>GETPIVOTDATA("Sum of Old-Tot G SCH Calc",'Pivot Table for Fact Book'!$A$3,"State","SC","type",2,"Type2","Four-Year")</f>
        <v>0</v>
      </c>
      <c r="E58" s="98">
        <f>GETPIVOTDATA("Sum of New-Tot G SCH Calc",'Pivot Table for Fact Book'!$A$3,"State","SC","type",2,"Type2","Four-Year")</f>
        <v>0</v>
      </c>
      <c r="F58" s="97">
        <f>GETPIVOTDATA("Sum of Old-Tot G SCH Calc",'Pivot Table for Fact Book'!$A$3,"State","SC","type",3,"Type2","Four-Year")</f>
        <v>42467</v>
      </c>
      <c r="G58" s="98">
        <f>GETPIVOTDATA("Sum of New-Tot G SCH Calc",'Pivot Table for Fact Book'!$A$3,"State","SC","type",3,"Type2","Four-Year")</f>
        <v>48009</v>
      </c>
      <c r="H58" s="97">
        <f>GETPIVOTDATA("Sum of Old-Tot G SCH Calc",'Pivot Table for Fact Book'!$A$3,"State","SC","type",4,"Type2","Four-Year")</f>
        <v>12890</v>
      </c>
      <c r="I58" s="98">
        <f>GETPIVOTDATA("Sum of New-Tot G SCH Calc",'Pivot Table for Fact Book'!$A$3,"State","SC","type",4,"Type2","Four-Year")</f>
        <v>12670</v>
      </c>
      <c r="J58" s="97">
        <f>GETPIVOTDATA("Sum of Old-Tot G SCH Calc",'Pivot Table for Fact Book'!$A$3,"State","SC","type",5,"Type2","Four-Year")</f>
        <v>15609</v>
      </c>
      <c r="K58" s="98">
        <f>GETPIVOTDATA("Sum of New-Tot G SCH Calc",'Pivot Table for Fact Book'!$A$3,"State","SC","type",5,"Type2","Four-Year")</f>
        <v>17316</v>
      </c>
      <c r="L58" s="97">
        <f>GETPIVOTDATA("Sum of Old-Tot G SCH Calc",'Pivot Table for Fact Book'!$A$3,"State","SC","type",6,"Type2","Four-Year")</f>
        <v>13161</v>
      </c>
      <c r="M58" s="98">
        <f>GETPIVOTDATA("Sum of New-Tot G SCH Calc",'Pivot Table for Fact Book'!$A$3,"State","SC","type",6,"Type2","Four-Year")</f>
        <v>14059</v>
      </c>
      <c r="N58" s="97">
        <f>GETPIVOTDATA("Sum of Old-Tot G SCH Calc",'Pivot Table for Fact Book'!$A$3,"State","SC","type",15,"Type2","Four-Year")</f>
        <v>0</v>
      </c>
      <c r="O58" s="98">
        <f>GETPIVOTDATA("Sum of New-Tot G SCH Calc",'Pivot Table for Fact Book'!$A$3,"State","SC","type",15,"Type2","Four-Year")</f>
        <v>0</v>
      </c>
      <c r="P58" s="99">
        <f>GETPIVOTDATA("Sum of Old-Tot G SCH Calc",'Pivot Table for Fact Book'!$A$3,"State","SC","Type2","Four-Year")</f>
        <v>356411</v>
      </c>
      <c r="Q58" s="99">
        <f>GETPIVOTDATA("Sum of New-Tot G SCH Calc",'Pivot Table for Fact Book'!$A$3,"State","SC","Type2","Four-Year")</f>
        <v>359085</v>
      </c>
    </row>
    <row r="59" spans="1:17">
      <c r="A59" s="110" t="s">
        <v>630</v>
      </c>
      <c r="B59" s="97">
        <f>GETPIVOTDATA("Sum of Old-Tot G SCH Calc",'Pivot Table for Fact Book'!$A$3,"State","TN","type",1,"Type2","Four-Year")</f>
        <v>155219</v>
      </c>
      <c r="C59" s="98">
        <f>GETPIVOTDATA("Sum of New-Tot G SCH Calc",'Pivot Table for Fact Book'!$A$3,"State","TN","type",1,"Type2","Four-Year")</f>
        <v>167581</v>
      </c>
      <c r="D59" s="97">
        <f>GETPIVOTDATA("Sum of Old-Tot G SCH Calc",'Pivot Table for Fact Book'!$A$3,"State","TN","type",2,"Type2","Four-Year")</f>
        <v>103832</v>
      </c>
      <c r="E59" s="98">
        <f>GETPIVOTDATA("Sum of New-Tot G SCH Calc",'Pivot Table for Fact Book'!$A$3,"State","TN","type",2,"Type2","Four-Year")</f>
        <v>101219</v>
      </c>
      <c r="F59" s="97">
        <f>GETPIVOTDATA("Sum of Old-Tot G SCH Calc",'Pivot Table for Fact Book'!$A$3,"State","TN","type",3,"Type2","Four-Year")</f>
        <v>62297</v>
      </c>
      <c r="G59" s="98">
        <f>GETPIVOTDATA("Sum of New-Tot G SCH Calc",'Pivot Table for Fact Book'!$A$3,"State","TN","type",3,"Type2","Four-Year")</f>
        <v>66119</v>
      </c>
      <c r="H59" s="97">
        <f>GETPIVOTDATA("Sum of Old-Tot G SCH Calc",'Pivot Table for Fact Book'!$A$3,"State","TN","type",4,"Type2","Four-Year")</f>
        <v>6765</v>
      </c>
      <c r="I59" s="98">
        <f>GETPIVOTDATA("Sum of New-Tot G SCH Calc",'Pivot Table for Fact Book'!$A$3,"State","TN","type",4,"Type2","Four-Year")</f>
        <v>11662</v>
      </c>
      <c r="J59" s="97">
        <f>GETPIVOTDATA("Sum of Old-Tot G SCH Calc",'Pivot Table for Fact Book'!$A$3,"State","TN","type",5,"Type2","Four-Year")</f>
        <v>0</v>
      </c>
      <c r="K59" s="98">
        <f>GETPIVOTDATA("Sum of New-Tot G SCH Calc",'Pivot Table for Fact Book'!$A$3,"State","TN","type",5,"Type2","Four-Year")</f>
        <v>0</v>
      </c>
      <c r="L59" s="97">
        <f>GETPIVOTDATA("Sum of Old-Tot G SCH Calc",'Pivot Table for Fact Book'!$A$3,"State","TN","type",6,"Type2","Four-Year")</f>
        <v>0</v>
      </c>
      <c r="M59" s="98">
        <f>GETPIVOTDATA("Sum of New-Tot G SCH Calc",'Pivot Table for Fact Book'!$A$3,"State","TN","type",6,"Type2","Four-Year")</f>
        <v>0</v>
      </c>
      <c r="N59" s="97">
        <f>GETPIVOTDATA("Sum of Old-Tot G SCH Calc",'Pivot Table for Fact Book'!$A$3,"State","TN","type",15,"Type2","Four-Year")</f>
        <v>0</v>
      </c>
      <c r="O59" s="98">
        <f>GETPIVOTDATA("Sum of New-Tot G SCH Calc",'Pivot Table for Fact Book'!$A$3,"State","TN","type",15,"Type2","Four-Year")</f>
        <v>0</v>
      </c>
      <c r="P59" s="99">
        <f>GETPIVOTDATA("Sum of Old-Tot G SCH Calc",'Pivot Table for Fact Book'!$A$3,"State","TN","Type2","Four-Year")</f>
        <v>328113</v>
      </c>
      <c r="Q59" s="99">
        <f>GETPIVOTDATA("Sum of New-Tot G SCH Calc",'Pivot Table for Fact Book'!$A$3,"State","TN","Type2","Four-Year")</f>
        <v>346581</v>
      </c>
    </row>
    <row r="60" spans="1:17">
      <c r="A60" s="110" t="s">
        <v>631</v>
      </c>
      <c r="B60" s="97">
        <f>GETPIVOTDATA("Sum of Old-Tot G SCH Calc",'Pivot Table for Fact Book'!$A$3,"State","TX","type",1,"Type2","Four-Year")</f>
        <v>0</v>
      </c>
      <c r="C60" s="98">
        <f>GETPIVOTDATA("Sum of New-Tot G SCH Calc",'Pivot Table for Fact Book'!$A$3,"State","TX","type",1,"Type2","Four-Year")</f>
        <v>1313776</v>
      </c>
      <c r="D60" s="97">
        <f>GETPIVOTDATA("Sum of Old-Tot G SCH Calc",'Pivot Table for Fact Book'!$A$3,"State","TX","type",2,"Type2","Four-Year")</f>
        <v>0</v>
      </c>
      <c r="E60" s="98">
        <f>GETPIVOTDATA("Sum of New-Tot G SCH Calc",'Pivot Table for Fact Book'!$A$3,"State","TX","type",2,"Type2","Four-Year")</f>
        <v>239543</v>
      </c>
      <c r="F60" s="97">
        <f>GETPIVOTDATA("Sum of Old-Tot G SCH Calc",'Pivot Table for Fact Book'!$A$3,"State","TX","type",3,"Type2","Four-Year")</f>
        <v>0</v>
      </c>
      <c r="G60" s="98">
        <f>GETPIVOTDATA("Sum of New-Tot G SCH Calc",'Pivot Table for Fact Book'!$A$3,"State","TX","type",3,"Type2","Four-Year")</f>
        <v>724450</v>
      </c>
      <c r="H60" s="97">
        <f>GETPIVOTDATA("Sum of Old-Tot G SCH Calc",'Pivot Table for Fact Book'!$A$3,"State","TX","type",4,"Type2","Four-Year")</f>
        <v>0</v>
      </c>
      <c r="I60" s="98">
        <f>GETPIVOTDATA("Sum of New-Tot G SCH Calc",'Pivot Table for Fact Book'!$A$3,"State","TX","type",4,"Type2","Four-Year")</f>
        <v>85412</v>
      </c>
      <c r="J60" s="97">
        <f>GETPIVOTDATA("Sum of Old-Tot G SCH Calc",'Pivot Table for Fact Book'!$A$3,"State","TX","type",5,"Type2","Four-Year")</f>
        <v>0</v>
      </c>
      <c r="K60" s="98">
        <f>GETPIVOTDATA("Sum of New-Tot G SCH Calc",'Pivot Table for Fact Book'!$A$3,"State","TX","type",5,"Type2","Four-Year")</f>
        <v>4461</v>
      </c>
      <c r="L60" s="97">
        <f>GETPIVOTDATA("Sum of Old-Tot G SCH Calc",'Pivot Table for Fact Book'!$A$3,"State","TX","type",6,"Type2","Four-Year")</f>
        <v>0</v>
      </c>
      <c r="M60" s="98">
        <f>GETPIVOTDATA("Sum of New-Tot G SCH Calc",'Pivot Table for Fact Book'!$A$3,"State","TX","type",6,"Type2","Four-Year")</f>
        <v>0</v>
      </c>
      <c r="N60" s="97">
        <f>GETPIVOTDATA("Sum of Old-Tot G SCH Calc",'Pivot Table for Fact Book'!$A$3,"State","TX","type",15,"Type2","Four-Year")</f>
        <v>0</v>
      </c>
      <c r="O60" s="98">
        <f>GETPIVOTDATA("Sum of New-Tot G SCH Calc",'Pivot Table for Fact Book'!$A$3,"State","TX","type",15,"Type2","Four-Year")</f>
        <v>0</v>
      </c>
      <c r="P60" s="99">
        <f>GETPIVOTDATA("Sum of Old-Tot G SCH Calc",'Pivot Table for Fact Book'!$A$3,"State","TX","Type2","Four-Year")</f>
        <v>0</v>
      </c>
      <c r="Q60" s="99">
        <f>GETPIVOTDATA("Sum of New-Tot G SCH Calc",'Pivot Table for Fact Book'!$A$3,"State","TX","Type2","Four-Year")</f>
        <v>2367642</v>
      </c>
    </row>
    <row r="61" spans="1:17">
      <c r="A61" s="110" t="s">
        <v>632</v>
      </c>
      <c r="B61" s="97">
        <f>GETPIVOTDATA("Sum of Old-Tot G SCH Calc",'Pivot Table for Fact Book'!$A$3,"State","VA","type",1,"Type2","Four-Year")</f>
        <v>714323</v>
      </c>
      <c r="C61" s="98">
        <f>GETPIVOTDATA("Sum of New-Tot G SCH Calc",'Pivot Table for Fact Book'!$A$3,"State","VA","type",1,"Type2","Four-Year")</f>
        <v>720167</v>
      </c>
      <c r="D61" s="97">
        <f>GETPIVOTDATA("Sum of Old-Tot G SCH Calc",'Pivot Table for Fact Book'!$A$3,"State","VA","type",2,"Type2","Four-Year")</f>
        <v>59874</v>
      </c>
      <c r="E61" s="98">
        <f>GETPIVOTDATA("Sum of New-Tot G SCH Calc",'Pivot Table for Fact Book'!$A$3,"State","VA","type",2,"Type2","Four-Year")</f>
        <v>62133.5</v>
      </c>
      <c r="F61" s="97">
        <f>GETPIVOTDATA("Sum of Old-Tot G SCH Calc",'Pivot Table for Fact Book'!$A$3,"State","VA","type",3,"Type2","Four-Year")</f>
        <v>71678</v>
      </c>
      <c r="G61" s="98">
        <f>GETPIVOTDATA("Sum of New-Tot G SCH Calc",'Pivot Table for Fact Book'!$A$3,"State","VA","type",3,"Type2","Four-Year")</f>
        <v>82293</v>
      </c>
      <c r="H61" s="97">
        <f>GETPIVOTDATA("Sum of Old-Tot G SCH Calc",'Pivot Table for Fact Book'!$A$3,"State","VA","type",4,"Type2","Four-Year")</f>
        <v>9544</v>
      </c>
      <c r="I61" s="98">
        <f>GETPIVOTDATA("Sum of New-Tot G SCH Calc",'Pivot Table for Fact Book'!$A$3,"State","VA","type",4,"Type2","Four-Year")</f>
        <v>8473</v>
      </c>
      <c r="J61" s="97">
        <f>GETPIVOTDATA("Sum of Old-Tot G SCH Calc",'Pivot Table for Fact Book'!$A$3,"State","VA","type",5,"Type2","Four-Year")</f>
        <v>18846</v>
      </c>
      <c r="K61" s="98">
        <f>GETPIVOTDATA("Sum of New-Tot G SCH Calc",'Pivot Table for Fact Book'!$A$3,"State","VA","type",5,"Type2","Four-Year")</f>
        <v>22499.599999999999</v>
      </c>
      <c r="L61" s="97">
        <f>GETPIVOTDATA("Sum of Old-Tot G SCH Calc",'Pivot Table for Fact Book'!$A$3,"State","VA","type",6,"Type2","Four-Year")</f>
        <v>0</v>
      </c>
      <c r="M61" s="98">
        <f>GETPIVOTDATA("Sum of New-Tot G SCH Calc",'Pivot Table for Fact Book'!$A$3,"State","VA","type",6,"Type2","Four-Year")</f>
        <v>0</v>
      </c>
      <c r="N61" s="97">
        <f>GETPIVOTDATA("Sum of Old-Tot G SCH Calc",'Pivot Table for Fact Book'!$A$3,"State","VA","type",15,"Type2","Four-Year")</f>
        <v>0</v>
      </c>
      <c r="O61" s="98">
        <f>GETPIVOTDATA("Sum of New-Tot G SCH Calc",'Pivot Table for Fact Book'!$A$3,"State","VA","type",15,"Type2","Four-Year")</f>
        <v>0</v>
      </c>
      <c r="P61" s="99">
        <f>GETPIVOTDATA("Sum of Old-Tot G SCH Calc",'Pivot Table for Fact Book'!$A$3,"State","VA","Type2","Four-Year")</f>
        <v>874265</v>
      </c>
      <c r="Q61" s="99">
        <f>GETPIVOTDATA("Sum of New-Tot G SCH Calc",'Pivot Table for Fact Book'!$A$3,"State","VA","Type2","Four-Year")</f>
        <v>895566.1</v>
      </c>
    </row>
    <row r="62" spans="1:17">
      <c r="A62" s="131" t="s">
        <v>633</v>
      </c>
      <c r="B62" s="103">
        <f>GETPIVOTDATA("Sum of Old-Tot G SCH Calc",'Pivot Table for Fact Book'!$A$3,"State","WV","type",1,"Type2","Four-Year")</f>
        <v>85974</v>
      </c>
      <c r="C62" s="104">
        <f>GETPIVOTDATA("Sum of New-Tot G SCH Calc",'Pivot Table for Fact Book'!$A$3,"State","WV","type",1,"Type2","Four-Year")</f>
        <v>88595</v>
      </c>
      <c r="D62" s="103">
        <f>GETPIVOTDATA("Sum of Old-Tot G SCH Calc",'Pivot Table for Fact Book'!$A$3,"State","WV","type",2,"Type2","Four-Year")</f>
        <v>0</v>
      </c>
      <c r="E62" s="104">
        <f>GETPIVOTDATA("Sum of New-Tot G SCH Calc",'Pivot Table for Fact Book'!$A$3,"State","WV","type",2,"Type2","Four-Year")</f>
        <v>0</v>
      </c>
      <c r="F62" s="103">
        <f>GETPIVOTDATA("Sum of Old-Tot G SCH Calc",'Pivot Table for Fact Book'!$A$3,"State","WV","type",3,"Type2","Four-Year")</f>
        <v>64539</v>
      </c>
      <c r="G62" s="104">
        <f>GETPIVOTDATA("Sum of New-Tot G SCH Calc",'Pivot Table for Fact Book'!$A$3,"State","WV","type",3,"Type2","Four-Year")</f>
        <v>61591</v>
      </c>
      <c r="H62" s="103">
        <f>GETPIVOTDATA("Sum of Old-Tot G SCH Calc",'Pivot Table for Fact Book'!$A$3,"State","WV","type",4,"Type2","Four-Year")</f>
        <v>0</v>
      </c>
      <c r="I62" s="104">
        <f>GETPIVOTDATA("Sum of New-Tot G SCH Calc",'Pivot Table for Fact Book'!$A$3,"State","WV","type",4,"Type2","Four-Year")</f>
        <v>0</v>
      </c>
      <c r="J62" s="103">
        <f>GETPIVOTDATA("Sum of Old-Tot G SCH Calc",'Pivot Table for Fact Book'!$A$3,"State","WV","type",5,"Type2","Four-Year")</f>
        <v>23089</v>
      </c>
      <c r="K62" s="104">
        <f>GETPIVOTDATA("Sum of New-Tot G SCH Calc",'Pivot Table for Fact Book'!$A$3,"State","WV","type",5,"Type2","Four-Year")</f>
        <v>29144</v>
      </c>
      <c r="L62" s="103">
        <f>GETPIVOTDATA("Sum of Old-Tot G SCH Calc",'Pivot Table for Fact Book'!$A$3,"State","WV","type",6,"Type2","Four-Year")</f>
        <v>2419</v>
      </c>
      <c r="M62" s="104">
        <f>GETPIVOTDATA("Sum of New-Tot G SCH Calc",'Pivot Table for Fact Book'!$A$3,"State","WV","type",6,"Type2","Four-Year")</f>
        <v>2353</v>
      </c>
      <c r="N62" s="103">
        <f>GETPIVOTDATA("Sum of Old-Tot G SCH Calc",'Pivot Table for Fact Book'!$A$3,"State","WV","type",15,"Type2","Four-Year")</f>
        <v>0</v>
      </c>
      <c r="O62" s="104">
        <f>GETPIVOTDATA("Sum of New-Tot G SCH Calc",'Pivot Table for Fact Book'!$A$3,"State","WV","type",15,"Type2","Four-Year")</f>
        <v>0</v>
      </c>
      <c r="P62" s="105">
        <f>GETPIVOTDATA("Sum of Old-Tot G SCH Calc",'Pivot Table for Fact Book'!$A$3,"State","WV","Type2","Four-Year")</f>
        <v>176021</v>
      </c>
      <c r="Q62" s="105">
        <f>GETPIVOTDATA("Sum of New-Tot G SCH Calc",'Pivot Table for Fact Book'!$A$3,"State","WV","Type2","Four-Year")</f>
        <v>181683</v>
      </c>
    </row>
    <row r="64" spans="1:17">
      <c r="A64" s="109" t="s">
        <v>636</v>
      </c>
    </row>
    <row r="65" spans="1:33">
      <c r="B65" s="111" t="s">
        <v>614</v>
      </c>
      <c r="C65" s="112"/>
      <c r="D65" s="112"/>
      <c r="E65" s="112"/>
      <c r="F65" s="112"/>
      <c r="G65" s="112"/>
      <c r="H65" s="112"/>
      <c r="I65" s="112"/>
      <c r="J65" s="112"/>
      <c r="K65" s="112"/>
      <c r="L65" s="112"/>
      <c r="M65" s="112"/>
      <c r="N65" s="112"/>
      <c r="O65" s="112"/>
      <c r="P65" s="112"/>
      <c r="Q65" s="112"/>
    </row>
    <row r="66" spans="1:33">
      <c r="B66" s="117">
        <v>1</v>
      </c>
      <c r="C66" s="118"/>
      <c r="D66" s="117">
        <v>2</v>
      </c>
      <c r="E66" s="118"/>
      <c r="F66" s="117">
        <v>3</v>
      </c>
      <c r="G66" s="118"/>
      <c r="H66" s="117">
        <v>4</v>
      </c>
      <c r="I66" s="118"/>
      <c r="J66" s="117">
        <v>5</v>
      </c>
      <c r="K66" s="118"/>
      <c r="L66" s="117">
        <v>6</v>
      </c>
      <c r="M66" s="118"/>
      <c r="N66" s="117">
        <v>15</v>
      </c>
      <c r="O66" s="118"/>
      <c r="P66" s="117" t="s">
        <v>617</v>
      </c>
      <c r="Q66" s="119"/>
    </row>
    <row r="67" spans="1:33" s="133" customFormat="1">
      <c r="A67" s="132"/>
      <c r="B67" s="125">
        <v>2019</v>
      </c>
      <c r="C67" s="126">
        <v>2020</v>
      </c>
      <c r="D67" s="125">
        <v>2019</v>
      </c>
      <c r="E67" s="126">
        <v>2020</v>
      </c>
      <c r="F67" s="125">
        <v>2019</v>
      </c>
      <c r="G67" s="126">
        <v>2020</v>
      </c>
      <c r="H67" s="125">
        <v>2019</v>
      </c>
      <c r="I67" s="126">
        <v>2020</v>
      </c>
      <c r="J67" s="125">
        <v>2019</v>
      </c>
      <c r="K67" s="126">
        <v>2020</v>
      </c>
      <c r="L67" s="125">
        <v>2019</v>
      </c>
      <c r="M67" s="126">
        <v>2020</v>
      </c>
      <c r="N67" s="125">
        <v>2019</v>
      </c>
      <c r="O67" s="126">
        <v>2020</v>
      </c>
      <c r="P67" s="125">
        <v>2019</v>
      </c>
      <c r="Q67" s="126">
        <v>2020</v>
      </c>
      <c r="R67" s="127">
        <v>2019</v>
      </c>
      <c r="S67" s="128">
        <v>2020</v>
      </c>
      <c r="T67" s="127">
        <v>2019</v>
      </c>
      <c r="U67" s="128">
        <v>2020</v>
      </c>
      <c r="V67" s="127">
        <v>2019</v>
      </c>
      <c r="W67" s="128">
        <v>2020</v>
      </c>
      <c r="X67" s="127">
        <v>2019</v>
      </c>
      <c r="Y67" s="128">
        <v>2020</v>
      </c>
      <c r="Z67" s="127">
        <v>2019</v>
      </c>
      <c r="AA67" s="128">
        <v>2020</v>
      </c>
      <c r="AB67" s="127">
        <v>2019</v>
      </c>
      <c r="AC67" s="129">
        <v>2020</v>
      </c>
      <c r="AD67" s="127">
        <v>2019</v>
      </c>
      <c r="AE67" s="129">
        <v>2020</v>
      </c>
      <c r="AF67" s="127">
        <v>2019</v>
      </c>
      <c r="AG67" s="129">
        <v>2020</v>
      </c>
    </row>
    <row r="68" spans="1:33">
      <c r="A68" s="110" t="s">
        <v>618</v>
      </c>
      <c r="B68" s="97">
        <f>GETPIVOTDATA("Sum of Old G E-Learning",'Pivot Table for Fact Book'!$A$3,"State","AL","type",1,"Type2","Four-Year")</f>
        <v>69470</v>
      </c>
      <c r="C68" s="98">
        <f>GETPIVOTDATA("Sum of New G E-Learning",'Pivot Table for Fact Book'!$A$3,"State","AL","type",1,"Type2","Four-Year")</f>
        <v>91024</v>
      </c>
      <c r="D68" s="97">
        <f>GETPIVOTDATA("Sum of Old G E-Learning",'Pivot Table for Fact Book'!$A$3,"State","AL","type",2,"Type2","Four-Year")</f>
        <v>15915</v>
      </c>
      <c r="E68" s="98">
        <f>GETPIVOTDATA("Sum of New G E-Learning",'Pivot Table for Fact Book'!$A$3,"State","AL","type",2,"Type2","Four-Year")</f>
        <v>23526</v>
      </c>
      <c r="F68" s="97">
        <f>GETPIVOTDATA("Sum of Old G E-Learning",'Pivot Table for Fact Book'!$A$3,"State","AL","type",3,"Type2","Four-Year")</f>
        <v>66177</v>
      </c>
      <c r="G68" s="98">
        <f>GETPIVOTDATA("Sum of New G E-Learning",'Pivot Table for Fact Book'!$A$3,"State","AL","type",3,"Type2","Four-Year")</f>
        <v>111103</v>
      </c>
      <c r="H68" s="97">
        <f>GETPIVOTDATA("Sum of Old G E-Learning",'Pivot Table for Fact Book'!$A$3,"State","AL","type",4,"Type2","Four-Year")</f>
        <v>66277</v>
      </c>
      <c r="I68" s="98">
        <f>GETPIVOTDATA("Sum of New G E-Learning",'Pivot Table for Fact Book'!$A$3,"State","AL","type",4,"Type2","Four-Year")</f>
        <v>73460</v>
      </c>
      <c r="J68" s="97">
        <f>GETPIVOTDATA("Sum of Old G E-Learning",'Pivot Table for Fact Book'!$A$3,"State","AL","type",5,"Type2","Four-Year")</f>
        <v>1219</v>
      </c>
      <c r="K68" s="98">
        <f>GETPIVOTDATA("Sum of New G E-Learning",'Pivot Table for Fact Book'!$A$3,"State","AL","type",5,"Type2","Four-Year")</f>
        <v>2786</v>
      </c>
      <c r="L68" s="97">
        <f>GETPIVOTDATA("Sum of Old G E-Learning",'Pivot Table for Fact Book'!$A$3,"State","AL","type",6,"Type2","Four-Year")</f>
        <v>2400</v>
      </c>
      <c r="M68" s="98">
        <f>GETPIVOTDATA("Sum of New G E-Learning",'Pivot Table for Fact Book'!$A$3,"State","AL","type",6,"Type2","Four-Year")</f>
        <v>2919</v>
      </c>
      <c r="N68" s="97">
        <f>GETPIVOTDATA("Sum of Old G E-Learning",'Pivot Table for Fact Book'!$A$3,"State","AL","type",15,"Type2","Four-Year")</f>
        <v>0</v>
      </c>
      <c r="O68" s="98">
        <f>GETPIVOTDATA("Sum of New G E-Learning",'Pivot Table for Fact Book'!$A$3,"State","AL","type",15,"Type2","Four-Year")</f>
        <v>0</v>
      </c>
      <c r="P68" s="99">
        <f>GETPIVOTDATA("Sum of Old G E-Learning",'Pivot Table for Fact Book'!$A$3,"State","AL","Type2","Four-Year")</f>
        <v>221458</v>
      </c>
      <c r="Q68" s="99">
        <f>GETPIVOTDATA("Sum of New G E-Learning",'Pivot Table for Fact Book'!$A$3,"State","AL","Type2","Four-Year")</f>
        <v>304818</v>
      </c>
    </row>
    <row r="69" spans="1:33">
      <c r="A69" s="110" t="s">
        <v>619</v>
      </c>
      <c r="B69" s="97">
        <f>GETPIVOTDATA("Sum of Old G E-Learning",'Pivot Table for Fact Book'!$A$3,"State","AR","type",1,"Type2","Four-Year")</f>
        <v>24966</v>
      </c>
      <c r="C69" s="98">
        <f>GETPIVOTDATA("Sum of New G E-Learning",'Pivot Table for Fact Book'!$A$3,"State","AR","type",1,"Type2","Four-Year")</f>
        <v>31621</v>
      </c>
      <c r="D69" s="97">
        <f>GETPIVOTDATA("Sum of Old G E-Learning",'Pivot Table for Fact Book'!$A$3,"State","AR","type",2,"Type2","Four-Year")</f>
        <v>11878</v>
      </c>
      <c r="E69" s="98">
        <f>GETPIVOTDATA("Sum of New G E-Learning",'Pivot Table for Fact Book'!$A$3,"State","AR","type",2,"Type2","Four-Year")</f>
        <v>12172</v>
      </c>
      <c r="F69" s="97">
        <f>GETPIVOTDATA("Sum of Old G E-Learning",'Pivot Table for Fact Book'!$A$3,"State","AR","type",3,"Type2","Four-Year")</f>
        <v>106855</v>
      </c>
      <c r="G69" s="98">
        <f>GETPIVOTDATA("Sum of New G E-Learning",'Pivot Table for Fact Book'!$A$3,"State","AR","type",3,"Type2","Four-Year")</f>
        <v>116305</v>
      </c>
      <c r="H69" s="97">
        <f>GETPIVOTDATA("Sum of Old G E-Learning",'Pivot Table for Fact Book'!$A$3,"State","AR","type",4,"Type2","Four-Year")</f>
        <v>25563</v>
      </c>
      <c r="I69" s="98">
        <f>GETPIVOTDATA("Sum of New G E-Learning",'Pivot Table for Fact Book'!$A$3,"State","AR","type",4,"Type2","Four-Year")</f>
        <v>28580</v>
      </c>
      <c r="J69" s="97">
        <f>GETPIVOTDATA("Sum of Old G E-Learning",'Pivot Table for Fact Book'!$A$3,"State","AR","type",5,"Type2","Four-Year")</f>
        <v>0</v>
      </c>
      <c r="K69" s="98">
        <f>GETPIVOTDATA("Sum of New G E-Learning",'Pivot Table for Fact Book'!$A$3,"State","AR","type",5,"Type2","Four-Year")</f>
        <v>0</v>
      </c>
      <c r="L69" s="97">
        <f>GETPIVOTDATA("Sum of Old G E-Learning",'Pivot Table for Fact Book'!$A$3,"State","AR","type",6,"Type2","Four-Year")</f>
        <v>845</v>
      </c>
      <c r="M69" s="98">
        <f>GETPIVOTDATA("Sum of New G E-Learning",'Pivot Table for Fact Book'!$A$3,"State","AR","type",6,"Type2","Four-Year")</f>
        <v>1434</v>
      </c>
      <c r="N69" s="97">
        <f>GETPIVOTDATA("Sum of Old G E-Learning",'Pivot Table for Fact Book'!$A$3,"State","AR","type",15,"Type2","Four-Year")</f>
        <v>7769</v>
      </c>
      <c r="O69" s="98">
        <f>GETPIVOTDATA("Sum of New G E-Learning",'Pivot Table for Fact Book'!$A$3,"State","AR","type",15,"Type2","Four-Year")</f>
        <v>15530</v>
      </c>
      <c r="P69" s="99">
        <f>GETPIVOTDATA("Sum of Old G E-Learning",'Pivot Table for Fact Book'!$A$3,"State","AR","Type2","Four-Year")</f>
        <v>177876</v>
      </c>
      <c r="Q69" s="99">
        <f>GETPIVOTDATA("Sum of New G E-Learning",'Pivot Table for Fact Book'!$A$3,"State","AR","Type2","Four-Year")</f>
        <v>205642</v>
      </c>
    </row>
    <row r="70" spans="1:33">
      <c r="A70" s="110" t="s">
        <v>620</v>
      </c>
      <c r="B70" s="97">
        <f>GETPIVOTDATA("Sum of Old G E-Learning",'Pivot Table for Fact Book'!$A$3,"State","DE","type",1,"Type2","Four-Year")</f>
        <v>11193</v>
      </c>
      <c r="C70" s="98">
        <f>GETPIVOTDATA("Sum of New G E-Learning",'Pivot Table for Fact Book'!$A$3,"State","DE","type",1,"Type2","Four-Year")</f>
        <v>37536</v>
      </c>
      <c r="D70" s="97">
        <f>GETPIVOTDATA("Sum of Old G E-Learning",'Pivot Table for Fact Book'!$A$3,"State","DE","type",2,"Type2","Four-Year")</f>
        <v>0</v>
      </c>
      <c r="E70" s="98">
        <f>GETPIVOTDATA("Sum of New G E-Learning",'Pivot Table for Fact Book'!$A$3,"State","DE","type",2,"Type2","Four-Year")</f>
        <v>0</v>
      </c>
      <c r="F70" s="97">
        <f>GETPIVOTDATA("Sum of Old G E-Learning",'Pivot Table for Fact Book'!$A$3,"State","DE","type",3,"Type2","Four-Year")</f>
        <v>2343</v>
      </c>
      <c r="G70" s="98">
        <f>GETPIVOTDATA("Sum of New G E-Learning",'Pivot Table for Fact Book'!$A$3,"State","DE","type",3,"Type2","Four-Year")</f>
        <v>4282</v>
      </c>
      <c r="H70" s="97">
        <f>GETPIVOTDATA("Sum of Old G E-Learning",'Pivot Table for Fact Book'!$A$3,"State","DE","type",4,"Type2","Four-Year")</f>
        <v>0</v>
      </c>
      <c r="I70" s="98">
        <f>GETPIVOTDATA("Sum of New G E-Learning",'Pivot Table for Fact Book'!$A$3,"State","DE","type",4,"Type2","Four-Year")</f>
        <v>0</v>
      </c>
      <c r="J70" s="97">
        <f>GETPIVOTDATA("Sum of Old G E-Learning",'Pivot Table for Fact Book'!$A$3,"State","DE","type",5,"Type2","Four-Year")</f>
        <v>0</v>
      </c>
      <c r="K70" s="98">
        <f>GETPIVOTDATA("Sum of New G E-Learning",'Pivot Table for Fact Book'!$A$3,"State","DE","type",5,"Type2","Four-Year")</f>
        <v>0</v>
      </c>
      <c r="L70" s="97">
        <f>GETPIVOTDATA("Sum of Old G E-Learning",'Pivot Table for Fact Book'!$A$3,"State","DE","type",6,"Type2","Four-Year")</f>
        <v>0</v>
      </c>
      <c r="M70" s="98">
        <f>GETPIVOTDATA("Sum of New G E-Learning",'Pivot Table for Fact Book'!$A$3,"State","DE","type",6,"Type2","Four-Year")</f>
        <v>0</v>
      </c>
      <c r="N70" s="97">
        <f>GETPIVOTDATA("Sum of Old G E-Learning",'Pivot Table for Fact Book'!$A$3,"State","DE","type",15,"Type2","Four-Year")</f>
        <v>0</v>
      </c>
      <c r="O70" s="98">
        <f>GETPIVOTDATA("Sum of New G E-Learning",'Pivot Table for Fact Book'!$A$3,"State","DE","type",15,"Type2","Four-Year")</f>
        <v>0</v>
      </c>
      <c r="P70" s="99">
        <f>GETPIVOTDATA("Sum of Old G E-Learning",'Pivot Table for Fact Book'!$A$3,"State","DE","Type2","Four-Year")</f>
        <v>13536</v>
      </c>
      <c r="Q70" s="99">
        <f>GETPIVOTDATA("Sum of New G E-Learning",'Pivot Table for Fact Book'!$A$3,"State","DE","Type2","Four-Year")</f>
        <v>41818</v>
      </c>
    </row>
    <row r="71" spans="1:33">
      <c r="A71" s="110" t="s">
        <v>621</v>
      </c>
      <c r="B71" s="97">
        <f>GETPIVOTDATA("Sum of Old G E-Learning",'Pivot Table for Fact Book'!$A$3,"State","FL","type",1,"Type2","Four-Year")</f>
        <v>0</v>
      </c>
      <c r="C71" s="98">
        <f>GETPIVOTDATA("Sum of New G E-Learning",'Pivot Table for Fact Book'!$A$3,"State","FL","type",1,"Type2","Four-Year")</f>
        <v>0</v>
      </c>
      <c r="D71" s="97">
        <f>GETPIVOTDATA("Sum of Old G E-Learning",'Pivot Table for Fact Book'!$A$3,"State","FL","type",2,"Type2","Four-Year")</f>
        <v>0</v>
      </c>
      <c r="E71" s="98">
        <f>GETPIVOTDATA("Sum of New G E-Learning",'Pivot Table for Fact Book'!$A$3,"State","FL","type",2,"Type2","Four-Year")</f>
        <v>0</v>
      </c>
      <c r="F71" s="97">
        <f>GETPIVOTDATA("Sum of Old G E-Learning",'Pivot Table for Fact Book'!$A$3,"State","FL","type",3,"Type2","Four-Year")</f>
        <v>0</v>
      </c>
      <c r="G71" s="98">
        <f>GETPIVOTDATA("Sum of New G E-Learning",'Pivot Table for Fact Book'!$A$3,"State","FL","type",3,"Type2","Four-Year")</f>
        <v>0</v>
      </c>
      <c r="H71" s="97">
        <f>GETPIVOTDATA("Sum of Old G E-Learning",'Pivot Table for Fact Book'!$A$3,"State","FL","type",4,"Type2","Four-Year")</f>
        <v>0</v>
      </c>
      <c r="I71" s="98">
        <f>GETPIVOTDATA("Sum of New G E-Learning",'Pivot Table for Fact Book'!$A$3,"State","FL","type",4,"Type2","Four-Year")</f>
        <v>0</v>
      </c>
      <c r="J71" s="97">
        <f>GETPIVOTDATA("Sum of Old G E-Learning",'Pivot Table for Fact Book'!$A$3,"State","FL","type",5,"Type2","Four-Year")</f>
        <v>0</v>
      </c>
      <c r="K71" s="98">
        <f>GETPIVOTDATA("Sum of New G E-Learning",'Pivot Table for Fact Book'!$A$3,"State","FL","type",5,"Type2","Four-Year")</f>
        <v>0</v>
      </c>
      <c r="L71" s="97">
        <f>GETPIVOTDATA("Sum of Old G E-Learning",'Pivot Table for Fact Book'!$A$3,"State","FL","type",6,"Type2","Four-Year")</f>
        <v>0</v>
      </c>
      <c r="M71" s="98">
        <f>GETPIVOTDATA("Sum of New G E-Learning",'Pivot Table for Fact Book'!$A$3,"State","FL","type",6,"Type2","Four-Year")</f>
        <v>0</v>
      </c>
      <c r="N71" s="97">
        <f>GETPIVOTDATA("Sum of Old G E-Learning",'Pivot Table for Fact Book'!$A$3,"State","FL","type",15,"Type2","Four-Year")</f>
        <v>0</v>
      </c>
      <c r="O71" s="98">
        <f>GETPIVOTDATA("Sum of New G E-Learning",'Pivot Table for Fact Book'!$A$3,"State","FL","type",15,"Type2","Four-Year")</f>
        <v>0</v>
      </c>
      <c r="P71" s="99">
        <f>GETPIVOTDATA("Sum of Old G E-Learning",'Pivot Table for Fact Book'!$A$3,"State","FL","Type2","Four-Year")</f>
        <v>0</v>
      </c>
      <c r="Q71" s="99">
        <f>GETPIVOTDATA("Sum of New G E-Learning",'Pivot Table for Fact Book'!$A$3,"State","FL","Type2","Four-Year")</f>
        <v>0</v>
      </c>
    </row>
    <row r="72" spans="1:33">
      <c r="A72" s="110" t="s">
        <v>622</v>
      </c>
      <c r="B72" s="97">
        <f>GETPIVOTDATA("Sum of Old G E-Learning",'Pivot Table for Fact Book'!$A$3,"State","GA","type",1,"Type2","Four-Year")</f>
        <v>35077.5</v>
      </c>
      <c r="C72" s="98">
        <f>GETPIVOTDATA("Sum of New G E-Learning",'Pivot Table for Fact Book'!$A$3,"State","GA","type",1,"Type2","Four-Year")</f>
        <v>163266.70000000001</v>
      </c>
      <c r="D72" s="97">
        <f>GETPIVOTDATA("Sum of Old G E-Learning",'Pivot Table for Fact Book'!$A$3,"State","GA","type",2,"Type2","Four-Year")</f>
        <v>124792</v>
      </c>
      <c r="E72" s="98">
        <f>GETPIVOTDATA("Sum of New G E-Learning",'Pivot Table for Fact Book'!$A$3,"State","GA","type",2,"Type2","Four-Year")</f>
        <v>243333.5</v>
      </c>
      <c r="F72" s="97">
        <f>GETPIVOTDATA("Sum of Old G E-Learning",'Pivot Table for Fact Book'!$A$3,"State","GA","type",3,"Type2","Four-Year")</f>
        <v>148016.1</v>
      </c>
      <c r="G72" s="98">
        <f>GETPIVOTDATA("Sum of New G E-Learning",'Pivot Table for Fact Book'!$A$3,"State","GA","type",3,"Type2","Four-Year")</f>
        <v>180275</v>
      </c>
      <c r="H72" s="97">
        <f>GETPIVOTDATA("Sum of Old G E-Learning",'Pivot Table for Fact Book'!$A$3,"State","GA","type",4,"Type2","Four-Year")</f>
        <v>69839</v>
      </c>
      <c r="I72" s="98">
        <f>GETPIVOTDATA("Sum of New G E-Learning",'Pivot Table for Fact Book'!$A$3,"State","GA","type",4,"Type2","Four-Year")</f>
        <v>120134</v>
      </c>
      <c r="J72" s="97">
        <f>GETPIVOTDATA("Sum of Old G E-Learning",'Pivot Table for Fact Book'!$A$3,"State","GA","type",5,"Type2","Four-Year")</f>
        <v>6770</v>
      </c>
      <c r="K72" s="98">
        <f>GETPIVOTDATA("Sum of New G E-Learning",'Pivot Table for Fact Book'!$A$3,"State","GA","type",5,"Type2","Four-Year")</f>
        <v>10707</v>
      </c>
      <c r="L72" s="97">
        <f>GETPIVOTDATA("Sum of Old G E-Learning",'Pivot Table for Fact Book'!$A$3,"State","GA","type",6,"Type2","Four-Year")</f>
        <v>0</v>
      </c>
      <c r="M72" s="98">
        <f>GETPIVOTDATA("Sum of New G E-Learning",'Pivot Table for Fact Book'!$A$3,"State","GA","type",6,"Type2","Four-Year")</f>
        <v>0</v>
      </c>
      <c r="N72" s="97">
        <f>GETPIVOTDATA("Sum of Old G E-Learning",'Pivot Table for Fact Book'!$A$3,"State","GA","type",15,"Type2","Four-Year")</f>
        <v>0</v>
      </c>
      <c r="O72" s="98">
        <f>GETPIVOTDATA("Sum of New G E-Learning",'Pivot Table for Fact Book'!$A$3,"State","GA","type",15,"Type2","Four-Year")</f>
        <v>0</v>
      </c>
      <c r="P72" s="99">
        <f>GETPIVOTDATA("Sum of Old G E-Learning",'Pivot Table for Fact Book'!$A$3,"State","GA","Type2","Four-Year")</f>
        <v>384494.6</v>
      </c>
      <c r="Q72" s="99">
        <f>GETPIVOTDATA("Sum of New G E-Learning",'Pivot Table for Fact Book'!$A$3,"State","GA","Type2","Four-Year")</f>
        <v>717716.2</v>
      </c>
    </row>
    <row r="73" spans="1:33">
      <c r="A73" s="110" t="s">
        <v>623</v>
      </c>
      <c r="B73" s="97">
        <f>GETPIVOTDATA("Sum of Old G E-Learning",'Pivot Table for Fact Book'!$A$3,"State","KY","type",1,"Type2","Four-Year")</f>
        <v>44923.5</v>
      </c>
      <c r="C73" s="98">
        <f>GETPIVOTDATA("Sum of New G E-Learning",'Pivot Table for Fact Book'!$A$3,"State","KY","type",1,"Type2","Four-Year")</f>
        <v>87901</v>
      </c>
      <c r="D73" s="97">
        <f>GETPIVOTDATA("Sum of Old G E-Learning",'Pivot Table for Fact Book'!$A$3,"State","KY","type",2,"Type2","Four-Year")</f>
        <v>0</v>
      </c>
      <c r="E73" s="98">
        <f>GETPIVOTDATA("Sum of New G E-Learning",'Pivot Table for Fact Book'!$A$3,"State","KY","type",2,"Type2","Four-Year")</f>
        <v>0</v>
      </c>
      <c r="F73" s="97">
        <f>GETPIVOTDATA("Sum of Old G E-Learning",'Pivot Table for Fact Book'!$A$3,"State","KY","type",3,"Type2","Four-Year")</f>
        <v>101180</v>
      </c>
      <c r="G73" s="98">
        <f>GETPIVOTDATA("Sum of New G E-Learning",'Pivot Table for Fact Book'!$A$3,"State","KY","type",3,"Type2","Four-Year")</f>
        <v>133878</v>
      </c>
      <c r="H73" s="97">
        <f>GETPIVOTDATA("Sum of Old G E-Learning",'Pivot Table for Fact Book'!$A$3,"State","KY","type",4,"Type2","Four-Year")</f>
        <v>471</v>
      </c>
      <c r="I73" s="98">
        <f>GETPIVOTDATA("Sum of New G E-Learning",'Pivot Table for Fact Book'!$A$3,"State","KY","type",4,"Type2","Four-Year")</f>
        <v>819</v>
      </c>
      <c r="J73" s="97">
        <f>GETPIVOTDATA("Sum of Old G E-Learning",'Pivot Table for Fact Book'!$A$3,"State","KY","type",5,"Type2","Four-Year")</f>
        <v>0</v>
      </c>
      <c r="K73" s="98">
        <f>GETPIVOTDATA("Sum of New G E-Learning",'Pivot Table for Fact Book'!$A$3,"State","KY","type",5,"Type2","Four-Year")</f>
        <v>0</v>
      </c>
      <c r="L73" s="97">
        <f>GETPIVOTDATA("Sum of Old G E-Learning",'Pivot Table for Fact Book'!$A$3,"State","KY","type",6,"Type2","Four-Year")</f>
        <v>0</v>
      </c>
      <c r="M73" s="98">
        <f>GETPIVOTDATA("Sum of New G E-Learning",'Pivot Table for Fact Book'!$A$3,"State","KY","type",6,"Type2","Four-Year")</f>
        <v>0</v>
      </c>
      <c r="N73" s="97">
        <f>GETPIVOTDATA("Sum of Old G E-Learning",'Pivot Table for Fact Book'!$A$3,"State","KY","type",15,"Type2","Four-Year")</f>
        <v>0</v>
      </c>
      <c r="O73" s="98">
        <f>GETPIVOTDATA("Sum of New G E-Learning",'Pivot Table for Fact Book'!$A$3,"State","KY","type",15,"Type2","Four-Year")</f>
        <v>0</v>
      </c>
      <c r="P73" s="99">
        <f>GETPIVOTDATA("Sum of Old G E-Learning",'Pivot Table for Fact Book'!$A$3,"State","KY","Type2","Four-Year")</f>
        <v>146574.5</v>
      </c>
      <c r="Q73" s="99">
        <f>GETPIVOTDATA("Sum of New G E-Learning",'Pivot Table for Fact Book'!$A$3,"State","KY","Type2","Four-Year")</f>
        <v>222598</v>
      </c>
    </row>
    <row r="74" spans="1:33">
      <c r="A74" s="110" t="s">
        <v>624</v>
      </c>
      <c r="B74" s="97">
        <f>GETPIVOTDATA("Sum of Old G E-Learning",'Pivot Table for Fact Book'!$A$3,"State","LA","type",1,"Type2","Four-Year")</f>
        <v>10564.768295056399</v>
      </c>
      <c r="C74" s="98">
        <f>GETPIVOTDATA("Sum of New G E-Learning",'Pivot Table for Fact Book'!$A$3,"State","LA","type",1,"Type2","Four-Year")</f>
        <v>28396.244565217399</v>
      </c>
      <c r="D74" s="97">
        <f>GETPIVOTDATA("Sum of Old G E-Learning",'Pivot Table for Fact Book'!$A$3,"State","LA","type",2,"Type2","Four-Year")</f>
        <v>17434.372462848209</v>
      </c>
      <c r="E74" s="98">
        <f>GETPIVOTDATA("Sum of New G E-Learning",'Pivot Table for Fact Book'!$A$3,"State","LA","type",2,"Type2","Four-Year")</f>
        <v>25215.248722302371</v>
      </c>
      <c r="F74" s="97">
        <f>GETPIVOTDATA("Sum of Old G E-Learning",'Pivot Table for Fact Book'!$A$3,"State","LA","type",3,"Type2","Four-Year")</f>
        <v>36810.681119204557</v>
      </c>
      <c r="G74" s="98">
        <f>GETPIVOTDATA("Sum of New G E-Learning",'Pivot Table for Fact Book'!$A$3,"State","LA","type",3,"Type2","Four-Year")</f>
        <v>50510.734606126061</v>
      </c>
      <c r="H74" s="97">
        <f>GETPIVOTDATA("Sum of Old G E-Learning",'Pivot Table for Fact Book'!$A$3,"State","LA","type",4,"Type2","Four-Year")</f>
        <v>96493.805965943029</v>
      </c>
      <c r="I74" s="98">
        <f>GETPIVOTDATA("Sum of New G E-Learning",'Pivot Table for Fact Book'!$A$3,"State","LA","type",4,"Type2","Four-Year")</f>
        <v>129751.39166646279</v>
      </c>
      <c r="J74" s="97">
        <f>GETPIVOTDATA("Sum of Old G E-Learning",'Pivot Table for Fact Book'!$A$3,"State","LA","type",5,"Type2","Four-Year")</f>
        <v>2386.8000000000002</v>
      </c>
      <c r="K74" s="98">
        <f>GETPIVOTDATA("Sum of New G E-Learning",'Pivot Table for Fact Book'!$A$3,"State","LA","type",5,"Type2","Four-Year")</f>
        <v>7039</v>
      </c>
      <c r="L74" s="97">
        <f>GETPIVOTDATA("Sum of Old G E-Learning",'Pivot Table for Fact Book'!$A$3,"State","LA","type",6,"Type2","Four-Year")</f>
        <v>0</v>
      </c>
      <c r="M74" s="98">
        <f>GETPIVOTDATA("Sum of New G E-Learning",'Pivot Table for Fact Book'!$A$3,"State","LA","type",6,"Type2","Four-Year")</f>
        <v>0</v>
      </c>
      <c r="N74" s="97">
        <f>GETPIVOTDATA("Sum of Old G E-Learning",'Pivot Table for Fact Book'!$A$3,"State","LA","type",15,"Type2","Four-Year")</f>
        <v>1449</v>
      </c>
      <c r="O74" s="98">
        <f>GETPIVOTDATA("Sum of New G E-Learning",'Pivot Table for Fact Book'!$A$3,"State","LA","type",15,"Type2","Four-Year")</f>
        <v>1496.84647302905</v>
      </c>
      <c r="P74" s="99">
        <f>GETPIVOTDATA("Sum of Old G E-Learning",'Pivot Table for Fact Book'!$A$3,"State","LA","Type2","Four-Year")</f>
        <v>165139.4278430522</v>
      </c>
      <c r="Q74" s="99">
        <f>GETPIVOTDATA("Sum of New G E-Learning",'Pivot Table for Fact Book'!$A$3,"State","LA","Type2","Four-Year")</f>
        <v>242409.46603313767</v>
      </c>
    </row>
    <row r="75" spans="1:33">
      <c r="A75" s="110" t="s">
        <v>625</v>
      </c>
      <c r="B75" s="97">
        <f>GETPIVOTDATA("Sum of Old G E-Learning",'Pivot Table for Fact Book'!$A$3,"State","MD","type",1,"Type2","Four-Year")</f>
        <v>20019</v>
      </c>
      <c r="C75" s="98">
        <f>GETPIVOTDATA("Sum of New G E-Learning",'Pivot Table for Fact Book'!$A$3,"State","MD","type",1,"Type2","Four-Year")</f>
        <v>61470</v>
      </c>
      <c r="D75" s="97">
        <f>GETPIVOTDATA("Sum of Old G E-Learning",'Pivot Table for Fact Book'!$A$3,"State","MD","type",2,"Type2","Four-Year")</f>
        <v>13416</v>
      </c>
      <c r="E75" s="98">
        <f>GETPIVOTDATA("Sum of New G E-Learning",'Pivot Table for Fact Book'!$A$3,"State","MD","type",2,"Type2","Four-Year")</f>
        <v>30080</v>
      </c>
      <c r="F75" s="97">
        <f>GETPIVOTDATA("Sum of Old G E-Learning",'Pivot Table for Fact Book'!$A$3,"State","MD","type",3,"Type2","Four-Year")</f>
        <v>21001.5</v>
      </c>
      <c r="G75" s="98">
        <f>GETPIVOTDATA("Sum of New G E-Learning",'Pivot Table for Fact Book'!$A$3,"State","MD","type",3,"Type2","Four-Year")</f>
        <v>33937.5</v>
      </c>
      <c r="H75" s="97">
        <f>GETPIVOTDATA("Sum of Old G E-Learning",'Pivot Table for Fact Book'!$A$3,"State","MD","type",4,"Type2","Four-Year")</f>
        <v>23567</v>
      </c>
      <c r="I75" s="98">
        <f>GETPIVOTDATA("Sum of New G E-Learning",'Pivot Table for Fact Book'!$A$3,"State","MD","type",4,"Type2","Four-Year")</f>
        <v>36219.5</v>
      </c>
      <c r="J75" s="97">
        <f>GETPIVOTDATA("Sum of Old G E-Learning",'Pivot Table for Fact Book'!$A$3,"State","MD","type",5,"Type2","Four-Year")</f>
        <v>624</v>
      </c>
      <c r="K75" s="98">
        <f>GETPIVOTDATA("Sum of New G E-Learning",'Pivot Table for Fact Book'!$A$3,"State","MD","type",5,"Type2","Four-Year")</f>
        <v>730</v>
      </c>
      <c r="L75" s="97">
        <f>GETPIVOTDATA("Sum of Old G E-Learning",'Pivot Table for Fact Book'!$A$3,"State","MD","type",6,"Type2","Four-Year")</f>
        <v>0</v>
      </c>
      <c r="M75" s="98">
        <f>GETPIVOTDATA("Sum of New G E-Learning",'Pivot Table for Fact Book'!$A$3,"State","MD","type",6,"Type2","Four-Year")</f>
        <v>597</v>
      </c>
      <c r="N75" s="97">
        <f>GETPIVOTDATA("Sum of Old G E-Learning",'Pivot Table for Fact Book'!$A$3,"State","MD","type",15,"Type2","Four-Year")</f>
        <v>208119</v>
      </c>
      <c r="O75" s="98">
        <f>GETPIVOTDATA("Sum of New G E-Learning",'Pivot Table for Fact Book'!$A$3,"State","MD","type",15,"Type2","Four-Year")</f>
        <v>208196</v>
      </c>
      <c r="P75" s="99">
        <f>GETPIVOTDATA("Sum of Old G E-Learning",'Pivot Table for Fact Book'!$A$3,"State","MD","Type2","Four-Year")</f>
        <v>286746.5</v>
      </c>
      <c r="Q75" s="99">
        <f>GETPIVOTDATA("Sum of New G E-Learning",'Pivot Table for Fact Book'!$A$3,"State","MD","Type2","Four-Year")</f>
        <v>371230</v>
      </c>
    </row>
    <row r="76" spans="1:33">
      <c r="A76" s="110" t="s">
        <v>626</v>
      </c>
      <c r="B76" s="97">
        <f>GETPIVOTDATA("Sum of Old G E-Learning",'Pivot Table for Fact Book'!$A$3,"State","MS","type",1,"Type2","Four-Year")</f>
        <v>41965</v>
      </c>
      <c r="C76" s="98">
        <f>GETPIVOTDATA("Sum of New G E-Learning",'Pivot Table for Fact Book'!$A$3,"State","MS","type",1,"Type2","Four-Year")</f>
        <v>85203</v>
      </c>
      <c r="D76" s="97">
        <f>GETPIVOTDATA("Sum of Old G E-Learning",'Pivot Table for Fact Book'!$A$3,"State","MS","type",2,"Type2","Four-Year")</f>
        <v>16064</v>
      </c>
      <c r="E76" s="98">
        <f>GETPIVOTDATA("Sum of New G E-Learning",'Pivot Table for Fact Book'!$A$3,"State","MS","type",2,"Type2","Four-Year")</f>
        <v>24062</v>
      </c>
      <c r="F76" s="97">
        <f>GETPIVOTDATA("Sum of Old G E-Learning",'Pivot Table for Fact Book'!$A$3,"State","MS","type",3,"Type2","Four-Year")</f>
        <v>0</v>
      </c>
      <c r="G76" s="98">
        <f>GETPIVOTDATA("Sum of New G E-Learning",'Pivot Table for Fact Book'!$A$3,"State","MS","type",3,"Type2","Four-Year")</f>
        <v>0</v>
      </c>
      <c r="H76" s="97">
        <f>GETPIVOTDATA("Sum of Old G E-Learning",'Pivot Table for Fact Book'!$A$3,"State","MS","type",4,"Type2","Four-Year")</f>
        <v>24830</v>
      </c>
      <c r="I76" s="98">
        <f>GETPIVOTDATA("Sum of New G E-Learning",'Pivot Table for Fact Book'!$A$3,"State","MS","type",4,"Type2","Four-Year")</f>
        <v>28640</v>
      </c>
      <c r="J76" s="97">
        <f>GETPIVOTDATA("Sum of Old G E-Learning",'Pivot Table for Fact Book'!$A$3,"State","MS","type",5,"Type2","Four-Year")</f>
        <v>0</v>
      </c>
      <c r="K76" s="98">
        <f>GETPIVOTDATA("Sum of New G E-Learning",'Pivot Table for Fact Book'!$A$3,"State","MS","type",5,"Type2","Four-Year")</f>
        <v>0</v>
      </c>
      <c r="L76" s="97">
        <f>GETPIVOTDATA("Sum of Old G E-Learning",'Pivot Table for Fact Book'!$A$3,"State","MS","type",6,"Type2","Four-Year")</f>
        <v>0</v>
      </c>
      <c r="M76" s="98">
        <f>GETPIVOTDATA("Sum of New G E-Learning",'Pivot Table for Fact Book'!$A$3,"State","MS","type",6,"Type2","Four-Year")</f>
        <v>0</v>
      </c>
      <c r="N76" s="97">
        <f>GETPIVOTDATA("Sum of Old G E-Learning",'Pivot Table for Fact Book'!$A$3,"State","MS","type",15,"Type2","Four-Year")</f>
        <v>0</v>
      </c>
      <c r="O76" s="98">
        <f>GETPIVOTDATA("Sum of New G E-Learning",'Pivot Table for Fact Book'!$A$3,"State","MS","type",15,"Type2","Four-Year")</f>
        <v>0</v>
      </c>
      <c r="P76" s="99">
        <f>GETPIVOTDATA("Sum of Old G E-Learning",'Pivot Table for Fact Book'!$A$3,"State","MS","Type2","Four-Year")</f>
        <v>82859</v>
      </c>
      <c r="Q76" s="99">
        <f>GETPIVOTDATA("Sum of New G E-Learning",'Pivot Table for Fact Book'!$A$3,"State","MS","Type2","Four-Year")</f>
        <v>137905</v>
      </c>
    </row>
    <row r="77" spans="1:33">
      <c r="A77" s="110" t="s">
        <v>627</v>
      </c>
      <c r="B77" s="97">
        <f>GETPIVOTDATA("Sum of Old G E-Learning",'Pivot Table for Fact Book'!$A$3,"State","NC","type",1,"Type2","Four-Year")</f>
        <v>104013.5</v>
      </c>
      <c r="C77" s="98">
        <f>GETPIVOTDATA("Sum of New G E-Learning",'Pivot Table for Fact Book'!$A$3,"State","NC","type",1,"Type2","Four-Year")</f>
        <v>238199</v>
      </c>
      <c r="D77" s="97">
        <f>GETPIVOTDATA("Sum of Old G E-Learning",'Pivot Table for Fact Book'!$A$3,"State","NC","type",2,"Type2","Four-Year")</f>
        <v>54202</v>
      </c>
      <c r="E77" s="98">
        <f>GETPIVOTDATA("Sum of New G E-Learning",'Pivot Table for Fact Book'!$A$3,"State","NC","type",2,"Type2","Four-Year")</f>
        <v>64854</v>
      </c>
      <c r="F77" s="97">
        <f>GETPIVOTDATA("Sum of Old G E-Learning",'Pivot Table for Fact Book'!$A$3,"State","NC","type",3,"Type2","Four-Year")</f>
        <v>72713</v>
      </c>
      <c r="G77" s="98">
        <f>GETPIVOTDATA("Sum of New G E-Learning",'Pivot Table for Fact Book'!$A$3,"State","NC","type",3,"Type2","Four-Year")</f>
        <v>118620</v>
      </c>
      <c r="H77" s="97">
        <f>GETPIVOTDATA("Sum of Old G E-Learning",'Pivot Table for Fact Book'!$A$3,"State","NC","type",4,"Type2","Four-Year")</f>
        <v>9565</v>
      </c>
      <c r="I77" s="98">
        <f>GETPIVOTDATA("Sum of New G E-Learning",'Pivot Table for Fact Book'!$A$3,"State","NC","type",4,"Type2","Four-Year")</f>
        <v>13735</v>
      </c>
      <c r="J77" s="97">
        <f>GETPIVOTDATA("Sum of Old G E-Learning",'Pivot Table for Fact Book'!$A$3,"State","NC","type",5,"Type2","Four-Year")</f>
        <v>20710</v>
      </c>
      <c r="K77" s="98">
        <f>GETPIVOTDATA("Sum of New G E-Learning",'Pivot Table for Fact Book'!$A$3,"State","NC","type",5,"Type2","Four-Year")</f>
        <v>33329</v>
      </c>
      <c r="L77" s="97">
        <f>GETPIVOTDATA("Sum of Old G E-Learning",'Pivot Table for Fact Book'!$A$3,"State","NC","type",6,"Type2","Four-Year")</f>
        <v>829</v>
      </c>
      <c r="M77" s="98">
        <f>GETPIVOTDATA("Sum of New G E-Learning",'Pivot Table for Fact Book'!$A$3,"State","NC","type",6,"Type2","Four-Year")</f>
        <v>1120</v>
      </c>
      <c r="N77" s="97">
        <f>GETPIVOTDATA("Sum of Old G E-Learning",'Pivot Table for Fact Book'!$A$3,"State","NC","type",15,"Type2","Four-Year")</f>
        <v>12</v>
      </c>
      <c r="O77" s="98">
        <f>GETPIVOTDATA("Sum of New G E-Learning",'Pivot Table for Fact Book'!$A$3,"State","NC","type",15,"Type2","Four-Year")</f>
        <v>450</v>
      </c>
      <c r="P77" s="99">
        <f>GETPIVOTDATA("Sum of Old G E-Learning",'Pivot Table for Fact Book'!$A$3,"State","NC","Type2","Four-Year")</f>
        <v>262044.5</v>
      </c>
      <c r="Q77" s="99">
        <f>GETPIVOTDATA("Sum of New G E-Learning",'Pivot Table for Fact Book'!$A$3,"State","NC","Type2","Four-Year")</f>
        <v>470307</v>
      </c>
    </row>
    <row r="78" spans="1:33">
      <c r="A78" s="110" t="s">
        <v>628</v>
      </c>
      <c r="B78" s="97">
        <f>GETPIVOTDATA("Sum of Old G E-Learning",'Pivot Table for Fact Book'!$A$3,"State","OK","type",1,"Type2","Four-Year")</f>
        <v>0</v>
      </c>
      <c r="C78" s="98">
        <f>GETPIVOTDATA("Sum of New G E-Learning",'Pivot Table for Fact Book'!$A$3,"State","OK","type",1,"Type2","Four-Year")</f>
        <v>0</v>
      </c>
      <c r="D78" s="97">
        <f>GETPIVOTDATA("Sum of Old G E-Learning",'Pivot Table for Fact Book'!$A$3,"State","OK","type",2,"Type2","Four-Year")</f>
        <v>0</v>
      </c>
      <c r="E78" s="98">
        <f>GETPIVOTDATA("Sum of New G E-Learning",'Pivot Table for Fact Book'!$A$3,"State","OK","type",2,"Type2","Four-Year")</f>
        <v>0</v>
      </c>
      <c r="F78" s="97">
        <f>GETPIVOTDATA("Sum of Old G E-Learning",'Pivot Table for Fact Book'!$A$3,"State","OK","type",3,"Type2","Four-Year")</f>
        <v>0</v>
      </c>
      <c r="G78" s="98">
        <f>GETPIVOTDATA("Sum of New G E-Learning",'Pivot Table for Fact Book'!$A$3,"State","OK","type",3,"Type2","Four-Year")</f>
        <v>0</v>
      </c>
      <c r="H78" s="97">
        <f>GETPIVOTDATA("Sum of Old G E-Learning",'Pivot Table for Fact Book'!$A$3,"State","OK","type",4,"Type2","Four-Year")</f>
        <v>0</v>
      </c>
      <c r="I78" s="98">
        <f>GETPIVOTDATA("Sum of New G E-Learning",'Pivot Table for Fact Book'!$A$3,"State","OK","type",4,"Type2","Four-Year")</f>
        <v>0</v>
      </c>
      <c r="J78" s="97">
        <f>GETPIVOTDATA("Sum of Old G E-Learning",'Pivot Table for Fact Book'!$A$3,"State","OK","type",5,"Type2","Four-Year")</f>
        <v>0</v>
      </c>
      <c r="K78" s="98">
        <f>GETPIVOTDATA("Sum of New G E-Learning",'Pivot Table for Fact Book'!$A$3,"State","OK","type",5,"Type2","Four-Year")</f>
        <v>0</v>
      </c>
      <c r="L78" s="97">
        <f>GETPIVOTDATA("Sum of Old G E-Learning",'Pivot Table for Fact Book'!$A$3,"State","OK","type",6,"Type2","Four-Year")</f>
        <v>0</v>
      </c>
      <c r="M78" s="98">
        <f>GETPIVOTDATA("Sum of New G E-Learning",'Pivot Table for Fact Book'!$A$3,"State","OK","type",6,"Type2","Four-Year")</f>
        <v>0</v>
      </c>
      <c r="N78" s="97">
        <f>GETPIVOTDATA("Sum of Old G E-Learning",'Pivot Table for Fact Book'!$A$3,"State","OK","type",15,"Type2","Four-Year")</f>
        <v>0</v>
      </c>
      <c r="O78" s="98">
        <f>GETPIVOTDATA("Sum of New G E-Learning",'Pivot Table for Fact Book'!$A$3,"State","OK","type",15,"Type2","Four-Year")</f>
        <v>0</v>
      </c>
      <c r="P78" s="99">
        <f>GETPIVOTDATA("Sum of Old G E-Learning",'Pivot Table for Fact Book'!$A$3,"State","OK","Type2","Four-Year")</f>
        <v>0</v>
      </c>
      <c r="Q78" s="99">
        <f>GETPIVOTDATA("Sum of New G E-Learning",'Pivot Table for Fact Book'!$A$3,"State","OK","Type2","Four-Year")</f>
        <v>0</v>
      </c>
    </row>
    <row r="79" spans="1:33">
      <c r="A79" s="110" t="s">
        <v>629</v>
      </c>
      <c r="B79" s="97">
        <f>GETPIVOTDATA("Sum of Old G E-Learning",'Pivot Table for Fact Book'!$A$3,"State","SC","type",1,"Type2","Four-Year")</f>
        <v>65672</v>
      </c>
      <c r="C79" s="98">
        <f>GETPIVOTDATA("Sum of New G E-Learning",'Pivot Table for Fact Book'!$A$3,"State","SC","type",1,"Type2","Four-Year")</f>
        <v>118962</v>
      </c>
      <c r="D79" s="97">
        <f>GETPIVOTDATA("Sum of Old G E-Learning",'Pivot Table for Fact Book'!$A$3,"State","SC","type",2,"Type2","Four-Year")</f>
        <v>0</v>
      </c>
      <c r="E79" s="98">
        <f>GETPIVOTDATA("Sum of New G E-Learning",'Pivot Table for Fact Book'!$A$3,"State","SC","type",2,"Type2","Four-Year")</f>
        <v>0</v>
      </c>
      <c r="F79" s="97">
        <f>GETPIVOTDATA("Sum of Old G E-Learning",'Pivot Table for Fact Book'!$A$3,"State","SC","type",3,"Type2","Four-Year")</f>
        <v>17398</v>
      </c>
      <c r="G79" s="98">
        <f>GETPIVOTDATA("Sum of New G E-Learning",'Pivot Table for Fact Book'!$A$3,"State","SC","type",3,"Type2","Four-Year")</f>
        <v>31261</v>
      </c>
      <c r="H79" s="97">
        <f>GETPIVOTDATA("Sum of Old G E-Learning",'Pivot Table for Fact Book'!$A$3,"State","SC","type",4,"Type2","Four-Year")</f>
        <v>6044</v>
      </c>
      <c r="I79" s="98">
        <f>GETPIVOTDATA("Sum of New G E-Learning",'Pivot Table for Fact Book'!$A$3,"State","SC","type",4,"Type2","Four-Year")</f>
        <v>7893</v>
      </c>
      <c r="J79" s="97">
        <f>GETPIVOTDATA("Sum of Old G E-Learning",'Pivot Table for Fact Book'!$A$3,"State","SC","type",5,"Type2","Four-Year")</f>
        <v>5513</v>
      </c>
      <c r="K79" s="98">
        <f>GETPIVOTDATA("Sum of New G E-Learning",'Pivot Table for Fact Book'!$A$3,"State","SC","type",5,"Type2","Four-Year")</f>
        <v>8790</v>
      </c>
      <c r="L79" s="97">
        <f>GETPIVOTDATA("Sum of Old G E-Learning",'Pivot Table for Fact Book'!$A$3,"State","SC","type",6,"Type2","Four-Year")</f>
        <v>7544</v>
      </c>
      <c r="M79" s="98">
        <f>GETPIVOTDATA("Sum of New G E-Learning",'Pivot Table for Fact Book'!$A$3,"State","SC","type",6,"Type2","Four-Year")</f>
        <v>11268</v>
      </c>
      <c r="N79" s="97">
        <f>GETPIVOTDATA("Sum of Old G E-Learning",'Pivot Table for Fact Book'!$A$3,"State","SC","type",15,"Type2","Four-Year")</f>
        <v>0</v>
      </c>
      <c r="O79" s="98">
        <f>GETPIVOTDATA("Sum of New G E-Learning",'Pivot Table for Fact Book'!$A$3,"State","SC","type",15,"Type2","Four-Year")</f>
        <v>0</v>
      </c>
      <c r="P79" s="99">
        <f>GETPIVOTDATA("Sum of Old G E-Learning",'Pivot Table for Fact Book'!$A$3,"State","SC","Type2","Four-Year")</f>
        <v>102171</v>
      </c>
      <c r="Q79" s="99">
        <f>GETPIVOTDATA("Sum of New G E-Learning",'Pivot Table for Fact Book'!$A$3,"State","SC","Type2","Four-Year")</f>
        <v>178174</v>
      </c>
    </row>
    <row r="80" spans="1:33">
      <c r="A80" s="110" t="s">
        <v>630</v>
      </c>
      <c r="B80" s="97">
        <f>GETPIVOTDATA("Sum of Old G E-Learning",'Pivot Table for Fact Book'!$A$3,"State","TN","type",1,"Type2","Four-Year")</f>
        <v>46443</v>
      </c>
      <c r="C80" s="98">
        <f>GETPIVOTDATA("Sum of New G E-Learning",'Pivot Table for Fact Book'!$A$3,"State","TN","type",1,"Type2","Four-Year")</f>
        <v>69959</v>
      </c>
      <c r="D80" s="97">
        <f>GETPIVOTDATA("Sum of Old G E-Learning",'Pivot Table for Fact Book'!$A$3,"State","TN","type",2,"Type2","Four-Year")</f>
        <v>44492</v>
      </c>
      <c r="E80" s="98">
        <f>GETPIVOTDATA("Sum of New G E-Learning",'Pivot Table for Fact Book'!$A$3,"State","TN","type",2,"Type2","Four-Year")</f>
        <v>59960</v>
      </c>
      <c r="F80" s="97">
        <f>GETPIVOTDATA("Sum of Old G E-Learning",'Pivot Table for Fact Book'!$A$3,"State","TN","type",3,"Type2","Four-Year")</f>
        <v>36562</v>
      </c>
      <c r="G80" s="98">
        <f>GETPIVOTDATA("Sum of New G E-Learning",'Pivot Table for Fact Book'!$A$3,"State","TN","type",3,"Type2","Four-Year")</f>
        <v>50900</v>
      </c>
      <c r="H80" s="97">
        <f>GETPIVOTDATA("Sum of Old G E-Learning",'Pivot Table for Fact Book'!$A$3,"State","TN","type",4,"Type2","Four-Year")</f>
        <v>6111</v>
      </c>
      <c r="I80" s="98">
        <f>GETPIVOTDATA("Sum of New G E-Learning",'Pivot Table for Fact Book'!$A$3,"State","TN","type",4,"Type2","Four-Year")</f>
        <v>11100</v>
      </c>
      <c r="J80" s="97">
        <f>GETPIVOTDATA("Sum of Old G E-Learning",'Pivot Table for Fact Book'!$A$3,"State","TN","type",5,"Type2","Four-Year")</f>
        <v>0</v>
      </c>
      <c r="K80" s="98">
        <f>GETPIVOTDATA("Sum of New G E-Learning",'Pivot Table for Fact Book'!$A$3,"State","TN","type",5,"Type2","Four-Year")</f>
        <v>0</v>
      </c>
      <c r="L80" s="97">
        <f>GETPIVOTDATA("Sum of Old G E-Learning",'Pivot Table for Fact Book'!$A$3,"State","TN","type",6,"Type2","Four-Year")</f>
        <v>0</v>
      </c>
      <c r="M80" s="98">
        <f>GETPIVOTDATA("Sum of New G E-Learning",'Pivot Table for Fact Book'!$A$3,"State","TN","type",6,"Type2","Four-Year")</f>
        <v>0</v>
      </c>
      <c r="N80" s="97">
        <f>GETPIVOTDATA("Sum of Old G E-Learning",'Pivot Table for Fact Book'!$A$3,"State","TN","type",15,"Type2","Four-Year")</f>
        <v>0</v>
      </c>
      <c r="O80" s="98">
        <f>GETPIVOTDATA("Sum of New G E-Learning",'Pivot Table for Fact Book'!$A$3,"State","TN","type",15,"Type2","Four-Year")</f>
        <v>0</v>
      </c>
      <c r="P80" s="99">
        <f>GETPIVOTDATA("Sum of Old G E-Learning",'Pivot Table for Fact Book'!$A$3,"State","TN","Type2","Four-Year")</f>
        <v>133608</v>
      </c>
      <c r="Q80" s="99">
        <f>GETPIVOTDATA("Sum of New G E-Learning",'Pivot Table for Fact Book'!$A$3,"State","TN","Type2","Four-Year")</f>
        <v>191919</v>
      </c>
    </row>
    <row r="81" spans="1:17">
      <c r="A81" s="110" t="s">
        <v>631</v>
      </c>
      <c r="B81" s="97">
        <f>GETPIVOTDATA("Sum of Old G E-Learning",'Pivot Table for Fact Book'!$A$3,"State","TX","type",1,"Type2","Four-Year")</f>
        <v>0</v>
      </c>
      <c r="C81" s="98">
        <f>GETPIVOTDATA("Sum of New G E-Learning",'Pivot Table for Fact Book'!$A$3,"State","TX","type",1,"Type2","Four-Year")</f>
        <v>639326</v>
      </c>
      <c r="D81" s="97">
        <f>GETPIVOTDATA("Sum of Old G E-Learning",'Pivot Table for Fact Book'!$A$3,"State","TX","type",2,"Type2","Four-Year")</f>
        <v>0</v>
      </c>
      <c r="E81" s="98">
        <f>GETPIVOTDATA("Sum of New G E-Learning",'Pivot Table for Fact Book'!$A$3,"State","TX","type",2,"Type2","Four-Year")</f>
        <v>145395</v>
      </c>
      <c r="F81" s="97">
        <f>GETPIVOTDATA("Sum of Old G E-Learning",'Pivot Table for Fact Book'!$A$3,"State","TX","type",3,"Type2","Four-Year")</f>
        <v>0</v>
      </c>
      <c r="G81" s="98">
        <f>GETPIVOTDATA("Sum of New G E-Learning",'Pivot Table for Fact Book'!$A$3,"State","TX","type",3,"Type2","Four-Year")</f>
        <v>577542</v>
      </c>
      <c r="H81" s="97">
        <f>GETPIVOTDATA("Sum of Old G E-Learning",'Pivot Table for Fact Book'!$A$3,"State","TX","type",4,"Type2","Four-Year")</f>
        <v>0</v>
      </c>
      <c r="I81" s="98">
        <f>GETPIVOTDATA("Sum of New G E-Learning",'Pivot Table for Fact Book'!$A$3,"State","TX","type",4,"Type2","Four-Year")</f>
        <v>68996</v>
      </c>
      <c r="J81" s="97">
        <f>GETPIVOTDATA("Sum of Old G E-Learning",'Pivot Table for Fact Book'!$A$3,"State","TX","type",5,"Type2","Four-Year")</f>
        <v>0</v>
      </c>
      <c r="K81" s="98">
        <f>GETPIVOTDATA("Sum of New G E-Learning",'Pivot Table for Fact Book'!$A$3,"State","TX","type",5,"Type2","Four-Year")</f>
        <v>2680</v>
      </c>
      <c r="L81" s="97">
        <f>GETPIVOTDATA("Sum of Old G E-Learning",'Pivot Table for Fact Book'!$A$3,"State","TX","type",6,"Type2","Four-Year")</f>
        <v>0</v>
      </c>
      <c r="M81" s="98">
        <f>GETPIVOTDATA("Sum of New G E-Learning",'Pivot Table for Fact Book'!$A$3,"State","TX","type",6,"Type2","Four-Year")</f>
        <v>0</v>
      </c>
      <c r="N81" s="97">
        <f>GETPIVOTDATA("Sum of Old G E-Learning",'Pivot Table for Fact Book'!$A$3,"State","TX","type",15,"Type2","Four-Year")</f>
        <v>0</v>
      </c>
      <c r="O81" s="98">
        <f>GETPIVOTDATA("Sum of New G E-Learning",'Pivot Table for Fact Book'!$A$3,"State","TX","type",15,"Type2","Four-Year")</f>
        <v>0</v>
      </c>
      <c r="P81" s="99">
        <f>GETPIVOTDATA("Sum of Old G E-Learning",'Pivot Table for Fact Book'!$A$3,"State","TX","Type2","Four-Year")</f>
        <v>0</v>
      </c>
      <c r="Q81" s="99">
        <f>GETPIVOTDATA("Sum of New G E-Learning",'Pivot Table for Fact Book'!$A$3,"State","TX","Type2","Four-Year")</f>
        <v>1433939</v>
      </c>
    </row>
    <row r="82" spans="1:17">
      <c r="A82" s="110" t="s">
        <v>632</v>
      </c>
      <c r="B82" s="97">
        <f>GETPIVOTDATA("Sum of Old G E-Learning",'Pivot Table for Fact Book'!$A$3,"State","VA","type",1,"Type2","Four-Year")</f>
        <v>120563</v>
      </c>
      <c r="C82" s="98">
        <f>GETPIVOTDATA("Sum of New G E-Learning",'Pivot Table for Fact Book'!$A$3,"State","VA","type",1,"Type2","Four-Year")</f>
        <v>279632</v>
      </c>
      <c r="D82" s="97">
        <f>GETPIVOTDATA("Sum of Old G E-Learning",'Pivot Table for Fact Book'!$A$3,"State","VA","type",2,"Type2","Four-Year")</f>
        <v>9473.5</v>
      </c>
      <c r="E82" s="98">
        <f>GETPIVOTDATA("Sum of New G E-Learning",'Pivot Table for Fact Book'!$A$3,"State","VA","type",2,"Type2","Four-Year")</f>
        <v>30282</v>
      </c>
      <c r="F82" s="97">
        <f>GETPIVOTDATA("Sum of Old G E-Learning",'Pivot Table for Fact Book'!$A$3,"State","VA","type",3,"Type2","Four-Year")</f>
        <v>21861</v>
      </c>
      <c r="G82" s="98">
        <f>GETPIVOTDATA("Sum of New G E-Learning",'Pivot Table for Fact Book'!$A$3,"State","VA","type",3,"Type2","Four-Year")</f>
        <v>41215</v>
      </c>
      <c r="H82" s="97">
        <f>GETPIVOTDATA("Sum of Old G E-Learning",'Pivot Table for Fact Book'!$A$3,"State","VA","type",4,"Type2","Four-Year")</f>
        <v>2112</v>
      </c>
      <c r="I82" s="98">
        <f>GETPIVOTDATA("Sum of New G E-Learning",'Pivot Table for Fact Book'!$A$3,"State","VA","type",4,"Type2","Four-Year")</f>
        <v>2367</v>
      </c>
      <c r="J82" s="97">
        <f>GETPIVOTDATA("Sum of Old G E-Learning",'Pivot Table for Fact Book'!$A$3,"State","VA","type",5,"Type2","Four-Year")</f>
        <v>7215.6</v>
      </c>
      <c r="K82" s="98">
        <f>GETPIVOTDATA("Sum of New G E-Learning",'Pivot Table for Fact Book'!$A$3,"State","VA","type",5,"Type2","Four-Year")</f>
        <v>16465</v>
      </c>
      <c r="L82" s="97">
        <f>GETPIVOTDATA("Sum of Old G E-Learning",'Pivot Table for Fact Book'!$A$3,"State","VA","type",6,"Type2","Four-Year")</f>
        <v>0</v>
      </c>
      <c r="M82" s="98">
        <f>GETPIVOTDATA("Sum of New G E-Learning",'Pivot Table for Fact Book'!$A$3,"State","VA","type",6,"Type2","Four-Year")</f>
        <v>0</v>
      </c>
      <c r="N82" s="97">
        <f>GETPIVOTDATA("Sum of Old G E-Learning",'Pivot Table for Fact Book'!$A$3,"State","VA","type",15,"Type2","Four-Year")</f>
        <v>0</v>
      </c>
      <c r="O82" s="98">
        <f>GETPIVOTDATA("Sum of New G E-Learning",'Pivot Table for Fact Book'!$A$3,"State","VA","type",15,"Type2","Four-Year")</f>
        <v>0</v>
      </c>
      <c r="P82" s="99">
        <f>GETPIVOTDATA("Sum of Old G E-Learning",'Pivot Table for Fact Book'!$A$3,"State","VA","Type2","Four-Year")</f>
        <v>161225.1</v>
      </c>
      <c r="Q82" s="99">
        <f>GETPIVOTDATA("Sum of New G E-Learning",'Pivot Table for Fact Book'!$A$3,"State","VA","Type2","Four-Year")</f>
        <v>369961</v>
      </c>
    </row>
    <row r="83" spans="1:17">
      <c r="A83" s="131" t="s">
        <v>633</v>
      </c>
      <c r="B83" s="103">
        <f>GETPIVOTDATA("Sum of Old G E-Learning",'Pivot Table for Fact Book'!$A$3,"State","WV","type",1,"Type2","Four-Year")</f>
        <v>25482</v>
      </c>
      <c r="C83" s="104">
        <f>GETPIVOTDATA("Sum of New G E-Learning",'Pivot Table for Fact Book'!$A$3,"State","WV","type",1,"Type2","Four-Year")</f>
        <v>36262</v>
      </c>
      <c r="D83" s="103">
        <f>GETPIVOTDATA("Sum of Old G E-Learning",'Pivot Table for Fact Book'!$A$3,"State","WV","type",2,"Type2","Four-Year")</f>
        <v>0</v>
      </c>
      <c r="E83" s="104">
        <f>GETPIVOTDATA("Sum of New G E-Learning",'Pivot Table for Fact Book'!$A$3,"State","WV","type",2,"Type2","Four-Year")</f>
        <v>0</v>
      </c>
      <c r="F83" s="103">
        <f>GETPIVOTDATA("Sum of Old G E-Learning",'Pivot Table for Fact Book'!$A$3,"State","WV","type",3,"Type2","Four-Year")</f>
        <v>21210</v>
      </c>
      <c r="G83" s="104">
        <f>GETPIVOTDATA("Sum of New G E-Learning",'Pivot Table for Fact Book'!$A$3,"State","WV","type",3,"Type2","Four-Year")</f>
        <v>37721</v>
      </c>
      <c r="H83" s="103">
        <f>GETPIVOTDATA("Sum of Old G E-Learning",'Pivot Table for Fact Book'!$A$3,"State","WV","type",4,"Type2","Four-Year")</f>
        <v>0</v>
      </c>
      <c r="I83" s="104">
        <f>GETPIVOTDATA("Sum of New G E-Learning",'Pivot Table for Fact Book'!$A$3,"State","WV","type",4,"Type2","Four-Year")</f>
        <v>0</v>
      </c>
      <c r="J83" s="103">
        <f>GETPIVOTDATA("Sum of Old G E-Learning",'Pivot Table for Fact Book'!$A$3,"State","WV","type",5,"Type2","Four-Year")</f>
        <v>13227</v>
      </c>
      <c r="K83" s="104">
        <f>GETPIVOTDATA("Sum of New G E-Learning",'Pivot Table for Fact Book'!$A$3,"State","WV","type",5,"Type2","Four-Year")</f>
        <v>19838</v>
      </c>
      <c r="L83" s="103">
        <f>GETPIVOTDATA("Sum of Old G E-Learning",'Pivot Table for Fact Book'!$A$3,"State","WV","type",6,"Type2","Four-Year")</f>
        <v>627</v>
      </c>
      <c r="M83" s="104">
        <f>GETPIVOTDATA("Sum of New G E-Learning",'Pivot Table for Fact Book'!$A$3,"State","WV","type",6,"Type2","Four-Year")</f>
        <v>657</v>
      </c>
      <c r="N83" s="103">
        <f>GETPIVOTDATA("Sum of Old G E-Learning",'Pivot Table for Fact Book'!$A$3,"State","WV","type",15,"Type2","Four-Year")</f>
        <v>0</v>
      </c>
      <c r="O83" s="104">
        <f>GETPIVOTDATA("Sum of New G E-Learning",'Pivot Table for Fact Book'!$A$3,"State","WV","type",15,"Type2","Four-Year")</f>
        <v>0</v>
      </c>
      <c r="P83" s="105">
        <f>GETPIVOTDATA("Sum of Old G E-Learning",'Pivot Table for Fact Book'!$A$3,"State","WV","Type2","Four-Year")</f>
        <v>60546</v>
      </c>
      <c r="Q83" s="105">
        <f>GETPIVOTDATA("Sum of New G E-Learning",'Pivot Table for Fact Book'!$A$3,"State","WV","Type2","Four-Year")</f>
        <v>94478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CEC5-F4C6-4717-8CD3-55D5A6A6A747}">
  <sheetPr>
    <tabColor rgb="FF006600"/>
  </sheetPr>
  <dimension ref="A1:Z882"/>
  <sheetViews>
    <sheetView workbookViewId="0">
      <selection activeCell="A3" sqref="A3:V133"/>
      <pivotSelection pane="bottomRight" showHeader="1" activeRow="2" click="1" r:id="rId1">
        <pivotArea type="all" dataOnly="0" outline="0" fieldPosition="0"/>
      </pivotSelection>
    </sheetView>
  </sheetViews>
  <sheetFormatPr defaultColWidth="8.84375" defaultRowHeight="14.5"/>
  <cols>
    <col min="1" max="1" width="5.4609375" style="62" customWidth="1"/>
    <col min="2" max="2" width="27.07421875" style="62" bestFit="1" customWidth="1"/>
    <col min="3" max="9" width="10.921875" style="62" bestFit="1" customWidth="1"/>
    <col min="10" max="10" width="13.84375" style="62" bestFit="1" customWidth="1"/>
    <col min="11" max="11" width="5.3046875" style="62" bestFit="1" customWidth="1"/>
    <col min="12" max="12" width="7.4609375" style="62" bestFit="1" customWidth="1"/>
    <col min="13" max="16" width="10.4609375" style="62" bestFit="1" customWidth="1"/>
    <col min="17" max="17" width="13.3828125" style="62" bestFit="1" customWidth="1"/>
    <col min="18" max="19" width="10.53515625" style="62" bestFit="1" customWidth="1"/>
    <col min="20" max="20" width="13.4609375" style="62" bestFit="1" customWidth="1"/>
    <col min="21" max="21" width="8.3828125" style="62" bestFit="1" customWidth="1"/>
    <col min="22" max="22" width="11.23046875" style="62" bestFit="1" customWidth="1"/>
    <col min="23" max="23" width="7.84375" style="62" customWidth="1"/>
    <col min="24" max="25" width="8.69140625" style="62" customWidth="1"/>
    <col min="26" max="26" width="7.84375" style="62" customWidth="1"/>
    <col min="27" max="16384" width="8.84375" style="62"/>
  </cols>
  <sheetData>
    <row r="1" spans="1:26">
      <c r="A1" s="62" t="s">
        <v>515</v>
      </c>
    </row>
    <row r="2" spans="1:26">
      <c r="S2" s="63"/>
      <c r="T2" s="63"/>
    </row>
    <row r="3" spans="1:26" ht="15.5">
      <c r="A3" s="509"/>
      <c r="B3" s="510"/>
      <c r="C3" s="509" t="s">
        <v>516</v>
      </c>
      <c r="D3" s="512" t="s">
        <v>21</v>
      </c>
      <c r="E3" s="512"/>
      <c r="F3" s="512"/>
      <c r="G3" s="512"/>
      <c r="H3" s="512"/>
      <c r="I3" s="512"/>
      <c r="J3" s="511"/>
      <c r="K3" s="512"/>
      <c r="L3" s="512"/>
      <c r="M3" s="512"/>
      <c r="N3" s="512"/>
      <c r="O3" s="511"/>
      <c r="P3" s="512"/>
      <c r="Q3" s="512"/>
      <c r="R3" s="511"/>
      <c r="S3" s="512"/>
      <c r="T3" s="512"/>
      <c r="U3" s="512"/>
      <c r="V3" s="513"/>
      <c r="W3" s="67"/>
      <c r="X3" s="67"/>
      <c r="Y3" s="67"/>
      <c r="Z3" s="67"/>
    </row>
    <row r="4" spans="1:26" ht="15.5">
      <c r="A4" s="516"/>
      <c r="B4" s="517"/>
      <c r="C4" s="509" t="s">
        <v>517</v>
      </c>
      <c r="D4" s="510"/>
      <c r="E4" s="510"/>
      <c r="F4" s="510"/>
      <c r="G4" s="510"/>
      <c r="H4" s="510"/>
      <c r="I4" s="510"/>
      <c r="J4" s="509" t="s">
        <v>518</v>
      </c>
      <c r="K4" s="509">
        <v>14</v>
      </c>
      <c r="L4" s="509" t="s">
        <v>519</v>
      </c>
      <c r="M4" s="509" t="s">
        <v>520</v>
      </c>
      <c r="N4" s="510"/>
      <c r="O4" s="510"/>
      <c r="P4" s="514"/>
      <c r="Q4" s="509" t="s">
        <v>521</v>
      </c>
      <c r="R4" s="509" t="s">
        <v>522</v>
      </c>
      <c r="S4" s="514"/>
      <c r="T4" s="509" t="s">
        <v>523</v>
      </c>
      <c r="U4" s="509" t="s">
        <v>611</v>
      </c>
      <c r="V4" s="518" t="s">
        <v>612</v>
      </c>
      <c r="W4" s="67"/>
      <c r="X4" s="67"/>
      <c r="Y4" s="67"/>
      <c r="Z4" s="67"/>
    </row>
    <row r="5" spans="1:26" ht="15.5">
      <c r="A5" s="536" t="s">
        <v>14</v>
      </c>
      <c r="B5" s="536" t="s">
        <v>524</v>
      </c>
      <c r="C5" s="509">
        <v>1</v>
      </c>
      <c r="D5" s="514">
        <v>2</v>
      </c>
      <c r="E5" s="514">
        <v>3</v>
      </c>
      <c r="F5" s="514">
        <v>4</v>
      </c>
      <c r="G5" s="514">
        <v>5</v>
      </c>
      <c r="H5" s="514">
        <v>6</v>
      </c>
      <c r="I5" s="514">
        <v>15</v>
      </c>
      <c r="J5" s="515"/>
      <c r="K5" s="509">
        <v>14</v>
      </c>
      <c r="L5" s="515"/>
      <c r="M5" s="509">
        <v>7</v>
      </c>
      <c r="N5" s="514">
        <v>8</v>
      </c>
      <c r="O5" s="514">
        <v>9</v>
      </c>
      <c r="P5" s="514">
        <v>10</v>
      </c>
      <c r="Q5" s="515"/>
      <c r="R5" s="509">
        <v>12</v>
      </c>
      <c r="S5" s="514">
        <v>13</v>
      </c>
      <c r="T5" s="515"/>
      <c r="U5" s="509" t="s">
        <v>611</v>
      </c>
      <c r="V5" s="519"/>
      <c r="W5" s="67"/>
      <c r="X5" s="67"/>
      <c r="Y5" s="67"/>
      <c r="Z5" s="67"/>
    </row>
    <row r="6" spans="1:26" s="82" customFormat="1" ht="15.5">
      <c r="A6" s="524" t="s">
        <v>50</v>
      </c>
      <c r="B6" s="524" t="s">
        <v>525</v>
      </c>
      <c r="C6" s="524">
        <v>1973441</v>
      </c>
      <c r="D6" s="524">
        <v>464800</v>
      </c>
      <c r="E6" s="524">
        <v>931874</v>
      </c>
      <c r="F6" s="524">
        <v>175734</v>
      </c>
      <c r="G6" s="524">
        <v>61935</v>
      </c>
      <c r="H6" s="524">
        <v>64093</v>
      </c>
      <c r="I6" s="524">
        <v>12854</v>
      </c>
      <c r="J6" s="523">
        <v>3684731</v>
      </c>
      <c r="K6" s="523"/>
      <c r="L6" s="523"/>
      <c r="M6" s="523"/>
      <c r="N6" s="524">
        <v>530031</v>
      </c>
      <c r="O6" s="524">
        <v>833922</v>
      </c>
      <c r="P6" s="524">
        <v>312314</v>
      </c>
      <c r="Q6" s="523">
        <v>1676267</v>
      </c>
      <c r="R6" s="523">
        <v>44337</v>
      </c>
      <c r="S6" s="524">
        <v>45115</v>
      </c>
      <c r="T6" s="523">
        <v>89452</v>
      </c>
      <c r="U6" s="523"/>
      <c r="V6" s="525"/>
      <c r="W6" s="67"/>
      <c r="X6" s="67"/>
      <c r="Y6" s="67"/>
      <c r="Z6" s="67"/>
    </row>
    <row r="7" spans="1:26" s="82" customFormat="1" ht="15.5">
      <c r="A7" s="532"/>
      <c r="B7" s="527" t="s">
        <v>526</v>
      </c>
      <c r="C7" s="527">
        <v>1949406</v>
      </c>
      <c r="D7" s="527">
        <v>451735</v>
      </c>
      <c r="E7" s="527">
        <v>945282</v>
      </c>
      <c r="F7" s="527">
        <v>173450</v>
      </c>
      <c r="G7" s="527">
        <v>62260</v>
      </c>
      <c r="H7" s="527">
        <v>65049</v>
      </c>
      <c r="I7" s="527">
        <v>12708</v>
      </c>
      <c r="J7" s="526">
        <v>3659890</v>
      </c>
      <c r="K7" s="526"/>
      <c r="L7" s="526"/>
      <c r="M7" s="526"/>
      <c r="N7" s="527">
        <v>493936</v>
      </c>
      <c r="O7" s="527">
        <v>755028</v>
      </c>
      <c r="P7" s="527">
        <v>290143</v>
      </c>
      <c r="Q7" s="526">
        <v>1539107</v>
      </c>
      <c r="R7" s="526">
        <v>40736</v>
      </c>
      <c r="S7" s="527">
        <v>37178</v>
      </c>
      <c r="T7" s="526">
        <v>77914</v>
      </c>
      <c r="U7" s="526"/>
      <c r="V7" s="528"/>
      <c r="W7" s="67"/>
      <c r="X7" s="67"/>
      <c r="Y7" s="67"/>
      <c r="Z7" s="67"/>
    </row>
    <row r="8" spans="1:26" s="82" customFormat="1" ht="15.5">
      <c r="A8" s="532"/>
      <c r="B8" s="524" t="s">
        <v>527</v>
      </c>
      <c r="C8" s="524">
        <v>293112</v>
      </c>
      <c r="D8" s="524">
        <v>67906</v>
      </c>
      <c r="E8" s="524">
        <v>254434</v>
      </c>
      <c r="F8" s="524">
        <v>40480</v>
      </c>
      <c r="G8" s="524">
        <v>6192</v>
      </c>
      <c r="H8" s="524">
        <v>52577</v>
      </c>
      <c r="I8" s="524">
        <v>449</v>
      </c>
      <c r="J8" s="523">
        <v>715150</v>
      </c>
      <c r="K8" s="523">
        <v>0</v>
      </c>
      <c r="L8" s="523">
        <v>0</v>
      </c>
      <c r="M8" s="523">
        <v>0</v>
      </c>
      <c r="N8" s="524">
        <v>189349</v>
      </c>
      <c r="O8" s="524">
        <v>213533</v>
      </c>
      <c r="P8" s="524">
        <v>115759</v>
      </c>
      <c r="Q8" s="523">
        <v>518641</v>
      </c>
      <c r="R8" s="523">
        <v>6546</v>
      </c>
      <c r="S8" s="524">
        <v>5397</v>
      </c>
      <c r="T8" s="523">
        <v>11943</v>
      </c>
      <c r="U8" s="523">
        <v>0</v>
      </c>
      <c r="V8" s="525">
        <v>0</v>
      </c>
      <c r="W8" s="67"/>
      <c r="X8" s="67"/>
      <c r="Y8" s="67"/>
      <c r="Z8" s="67"/>
    </row>
    <row r="9" spans="1:26" s="82" customFormat="1" ht="15.5">
      <c r="A9" s="532"/>
      <c r="B9" s="527" t="s">
        <v>528</v>
      </c>
      <c r="C9" s="527">
        <v>536968</v>
      </c>
      <c r="D9" s="527">
        <v>152599</v>
      </c>
      <c r="E9" s="527">
        <v>458679</v>
      </c>
      <c r="F9" s="527">
        <v>85559</v>
      </c>
      <c r="G9" s="527">
        <v>19289</v>
      </c>
      <c r="H9" s="527">
        <v>56608</v>
      </c>
      <c r="I9" s="527">
        <v>812</v>
      </c>
      <c r="J9" s="526">
        <v>1310514</v>
      </c>
      <c r="K9" s="526">
        <v>0</v>
      </c>
      <c r="L9" s="526">
        <v>0</v>
      </c>
      <c r="M9" s="526">
        <v>0</v>
      </c>
      <c r="N9" s="527">
        <v>276294</v>
      </c>
      <c r="O9" s="527">
        <v>330349</v>
      </c>
      <c r="P9" s="527">
        <v>163467</v>
      </c>
      <c r="Q9" s="526">
        <v>770110</v>
      </c>
      <c r="R9" s="526">
        <v>22168</v>
      </c>
      <c r="S9" s="527">
        <v>5744</v>
      </c>
      <c r="T9" s="526">
        <v>27912</v>
      </c>
      <c r="U9" s="526">
        <v>0</v>
      </c>
      <c r="V9" s="528">
        <v>0</v>
      </c>
      <c r="W9" s="67"/>
      <c r="X9" s="67"/>
      <c r="Y9" s="67"/>
      <c r="Z9" s="67"/>
    </row>
    <row r="10" spans="1:26" s="82" customFormat="1" ht="15.5">
      <c r="A10" s="532"/>
      <c r="B10" s="524" t="s">
        <v>529</v>
      </c>
      <c r="C10" s="524">
        <v>265766</v>
      </c>
      <c r="D10" s="524">
        <v>48614</v>
      </c>
      <c r="E10" s="524">
        <v>111448</v>
      </c>
      <c r="F10" s="524">
        <v>77205</v>
      </c>
      <c r="G10" s="524">
        <v>5966</v>
      </c>
      <c r="H10" s="524">
        <v>2415</v>
      </c>
      <c r="I10" s="524">
        <v>0</v>
      </c>
      <c r="J10" s="523">
        <v>511414</v>
      </c>
      <c r="K10" s="523"/>
      <c r="L10" s="523"/>
      <c r="M10" s="523"/>
      <c r="N10" s="524">
        <v>0</v>
      </c>
      <c r="O10" s="524">
        <v>0</v>
      </c>
      <c r="P10" s="524">
        <v>0</v>
      </c>
      <c r="Q10" s="523">
        <v>0</v>
      </c>
      <c r="R10" s="523">
        <v>0</v>
      </c>
      <c r="S10" s="524">
        <v>0</v>
      </c>
      <c r="T10" s="523">
        <v>0</v>
      </c>
      <c r="U10" s="523"/>
      <c r="V10" s="525"/>
      <c r="W10" s="67"/>
      <c r="X10" s="67"/>
      <c r="Y10" s="67"/>
      <c r="Z10" s="67"/>
    </row>
    <row r="11" spans="1:26" s="82" customFormat="1" ht="15.5">
      <c r="A11" s="532"/>
      <c r="B11" s="527" t="s">
        <v>530</v>
      </c>
      <c r="C11" s="527">
        <v>273769</v>
      </c>
      <c r="D11" s="527">
        <v>50120</v>
      </c>
      <c r="E11" s="527">
        <v>140240</v>
      </c>
      <c r="F11" s="527">
        <v>80213</v>
      </c>
      <c r="G11" s="527">
        <v>6659</v>
      </c>
      <c r="H11" s="527">
        <v>2982</v>
      </c>
      <c r="I11" s="527">
        <v>0</v>
      </c>
      <c r="J11" s="526">
        <v>553983</v>
      </c>
      <c r="K11" s="526"/>
      <c r="L11" s="526"/>
      <c r="M11" s="526"/>
      <c r="N11" s="527">
        <v>0</v>
      </c>
      <c r="O11" s="527">
        <v>0</v>
      </c>
      <c r="P11" s="527">
        <v>0</v>
      </c>
      <c r="Q11" s="526">
        <v>0</v>
      </c>
      <c r="R11" s="526">
        <v>0</v>
      </c>
      <c r="S11" s="527">
        <v>0</v>
      </c>
      <c r="T11" s="526">
        <v>0</v>
      </c>
      <c r="U11" s="526"/>
      <c r="V11" s="528"/>
      <c r="W11" s="67"/>
      <c r="X11" s="67"/>
      <c r="Y11" s="67"/>
      <c r="Z11" s="67"/>
    </row>
    <row r="12" spans="1:26" s="82" customFormat="1" ht="15.5">
      <c r="A12" s="532"/>
      <c r="B12" s="524" t="s">
        <v>531</v>
      </c>
      <c r="C12" s="524">
        <v>69470</v>
      </c>
      <c r="D12" s="524">
        <v>15915</v>
      </c>
      <c r="E12" s="524">
        <v>66177</v>
      </c>
      <c r="F12" s="524">
        <v>66277</v>
      </c>
      <c r="G12" s="524">
        <v>1219</v>
      </c>
      <c r="H12" s="524">
        <v>2400</v>
      </c>
      <c r="I12" s="524">
        <v>0</v>
      </c>
      <c r="J12" s="523">
        <v>221458</v>
      </c>
      <c r="K12" s="523">
        <v>0</v>
      </c>
      <c r="L12" s="523">
        <v>0</v>
      </c>
      <c r="M12" s="523">
        <v>0</v>
      </c>
      <c r="N12" s="524">
        <v>0</v>
      </c>
      <c r="O12" s="524">
        <v>0</v>
      </c>
      <c r="P12" s="524">
        <v>0</v>
      </c>
      <c r="Q12" s="523">
        <v>0</v>
      </c>
      <c r="R12" s="523">
        <v>0</v>
      </c>
      <c r="S12" s="524">
        <v>0</v>
      </c>
      <c r="T12" s="523">
        <v>0</v>
      </c>
      <c r="U12" s="523">
        <v>0</v>
      </c>
      <c r="V12" s="525">
        <v>0</v>
      </c>
      <c r="W12" s="67"/>
      <c r="X12" s="67"/>
      <c r="Y12" s="67"/>
      <c r="Z12" s="67"/>
    </row>
    <row r="13" spans="1:26" s="82" customFormat="1" ht="15.5">
      <c r="A13" s="527"/>
      <c r="B13" s="527" t="s">
        <v>532</v>
      </c>
      <c r="C13" s="527">
        <v>91024</v>
      </c>
      <c r="D13" s="527">
        <v>23526</v>
      </c>
      <c r="E13" s="527">
        <v>111103</v>
      </c>
      <c r="F13" s="527">
        <v>73460</v>
      </c>
      <c r="G13" s="527">
        <v>2786</v>
      </c>
      <c r="H13" s="527">
        <v>2919</v>
      </c>
      <c r="I13" s="527">
        <v>0</v>
      </c>
      <c r="J13" s="526">
        <v>304818</v>
      </c>
      <c r="K13" s="526">
        <v>0</v>
      </c>
      <c r="L13" s="526">
        <v>0</v>
      </c>
      <c r="M13" s="526">
        <v>0</v>
      </c>
      <c r="N13" s="527">
        <v>0</v>
      </c>
      <c r="O13" s="527">
        <v>0</v>
      </c>
      <c r="P13" s="527">
        <v>0</v>
      </c>
      <c r="Q13" s="526">
        <v>0</v>
      </c>
      <c r="R13" s="526">
        <v>0</v>
      </c>
      <c r="S13" s="527">
        <v>0</v>
      </c>
      <c r="T13" s="526">
        <v>0</v>
      </c>
      <c r="U13" s="526">
        <v>0</v>
      </c>
      <c r="V13" s="528">
        <v>0</v>
      </c>
      <c r="W13" s="67"/>
      <c r="X13" s="67"/>
      <c r="Y13" s="67"/>
      <c r="Z13" s="67"/>
    </row>
    <row r="14" spans="1:26" s="82" customFormat="1" ht="15.5">
      <c r="A14" s="533" t="s">
        <v>80</v>
      </c>
      <c r="B14" s="524" t="s">
        <v>525</v>
      </c>
      <c r="C14" s="521">
        <v>670354</v>
      </c>
      <c r="D14" s="521">
        <v>168675</v>
      </c>
      <c r="E14" s="521">
        <v>756177</v>
      </c>
      <c r="F14" s="521">
        <v>260074</v>
      </c>
      <c r="G14" s="521"/>
      <c r="H14" s="521">
        <v>227132</v>
      </c>
      <c r="I14" s="521">
        <v>19976</v>
      </c>
      <c r="J14" s="520">
        <v>2102388</v>
      </c>
      <c r="K14" s="520"/>
      <c r="L14" s="520"/>
      <c r="M14" s="520"/>
      <c r="N14" s="521">
        <v>149512</v>
      </c>
      <c r="O14" s="521">
        <v>187247</v>
      </c>
      <c r="P14" s="521">
        <v>591570</v>
      </c>
      <c r="Q14" s="520">
        <v>928329</v>
      </c>
      <c r="R14" s="520"/>
      <c r="S14" s="521"/>
      <c r="T14" s="520"/>
      <c r="U14" s="520"/>
      <c r="V14" s="522"/>
      <c r="W14" s="67"/>
      <c r="X14" s="67"/>
      <c r="Y14" s="67"/>
      <c r="Z14" s="67"/>
    </row>
    <row r="15" spans="1:26" s="82" customFormat="1" ht="15.5">
      <c r="A15" s="532"/>
      <c r="B15" s="524" t="s">
        <v>526</v>
      </c>
      <c r="C15" s="524">
        <v>657385</v>
      </c>
      <c r="D15" s="524">
        <v>170986</v>
      </c>
      <c r="E15" s="524">
        <v>738023</v>
      </c>
      <c r="F15" s="524">
        <v>253830</v>
      </c>
      <c r="G15" s="524"/>
      <c r="H15" s="524">
        <v>214379</v>
      </c>
      <c r="I15" s="524">
        <v>19701</v>
      </c>
      <c r="J15" s="523">
        <v>2054304</v>
      </c>
      <c r="K15" s="523"/>
      <c r="L15" s="523"/>
      <c r="M15" s="523"/>
      <c r="N15" s="524">
        <v>151510</v>
      </c>
      <c r="O15" s="524">
        <v>190354</v>
      </c>
      <c r="P15" s="524">
        <v>583040</v>
      </c>
      <c r="Q15" s="523">
        <v>924904</v>
      </c>
      <c r="R15" s="523"/>
      <c r="S15" s="524"/>
      <c r="T15" s="523"/>
      <c r="U15" s="523"/>
      <c r="V15" s="525"/>
      <c r="W15" s="67"/>
      <c r="X15" s="67"/>
      <c r="Y15" s="67"/>
      <c r="Z15" s="67"/>
    </row>
    <row r="16" spans="1:26" s="82" customFormat="1" ht="15.5">
      <c r="A16" s="532"/>
      <c r="B16" s="524" t="s">
        <v>527</v>
      </c>
      <c r="C16" s="524">
        <v>65232</v>
      </c>
      <c r="D16" s="524">
        <v>71089</v>
      </c>
      <c r="E16" s="524">
        <v>176715</v>
      </c>
      <c r="F16" s="524">
        <v>53693</v>
      </c>
      <c r="G16" s="524">
        <v>0</v>
      </c>
      <c r="H16" s="524">
        <v>56779</v>
      </c>
      <c r="I16" s="524">
        <v>5321</v>
      </c>
      <c r="J16" s="523">
        <v>428829</v>
      </c>
      <c r="K16" s="523">
        <v>0</v>
      </c>
      <c r="L16" s="523">
        <v>0</v>
      </c>
      <c r="M16" s="523">
        <v>0</v>
      </c>
      <c r="N16" s="524">
        <v>45990</v>
      </c>
      <c r="O16" s="524">
        <v>59060</v>
      </c>
      <c r="P16" s="524">
        <v>181072</v>
      </c>
      <c r="Q16" s="523">
        <v>286122</v>
      </c>
      <c r="R16" s="523">
        <v>0</v>
      </c>
      <c r="S16" s="524">
        <v>0</v>
      </c>
      <c r="T16" s="523">
        <v>0</v>
      </c>
      <c r="U16" s="523">
        <v>0</v>
      </c>
      <c r="V16" s="525">
        <v>0</v>
      </c>
      <c r="W16" s="67"/>
      <c r="X16" s="67"/>
      <c r="Y16" s="67"/>
      <c r="Z16" s="67"/>
    </row>
    <row r="17" spans="1:26" s="82" customFormat="1" ht="15.5">
      <c r="A17" s="532"/>
      <c r="B17" s="524" t="s">
        <v>528</v>
      </c>
      <c r="C17" s="524">
        <v>85199</v>
      </c>
      <c r="D17" s="524">
        <v>77443</v>
      </c>
      <c r="E17" s="524">
        <v>204982</v>
      </c>
      <c r="F17" s="524">
        <v>61957</v>
      </c>
      <c r="G17" s="524">
        <v>0</v>
      </c>
      <c r="H17" s="524">
        <v>62382</v>
      </c>
      <c r="I17" s="524">
        <v>7703</v>
      </c>
      <c r="J17" s="523">
        <v>499666</v>
      </c>
      <c r="K17" s="523">
        <v>0</v>
      </c>
      <c r="L17" s="523">
        <v>0</v>
      </c>
      <c r="M17" s="523">
        <v>0</v>
      </c>
      <c r="N17" s="524">
        <v>53522</v>
      </c>
      <c r="O17" s="524">
        <v>70849</v>
      </c>
      <c r="P17" s="524">
        <v>209135</v>
      </c>
      <c r="Q17" s="523">
        <v>333506</v>
      </c>
      <c r="R17" s="523">
        <v>0</v>
      </c>
      <c r="S17" s="524">
        <v>0</v>
      </c>
      <c r="T17" s="523">
        <v>0</v>
      </c>
      <c r="U17" s="523">
        <v>0</v>
      </c>
      <c r="V17" s="525">
        <v>0</v>
      </c>
      <c r="W17" s="67"/>
      <c r="X17" s="67"/>
      <c r="Y17" s="67"/>
      <c r="Z17" s="67"/>
    </row>
    <row r="18" spans="1:26" s="82" customFormat="1" ht="15.5">
      <c r="A18" s="532"/>
      <c r="B18" s="524" t="s">
        <v>529</v>
      </c>
      <c r="C18" s="524">
        <v>76358</v>
      </c>
      <c r="D18" s="524">
        <v>41407</v>
      </c>
      <c r="E18" s="524">
        <v>152757</v>
      </c>
      <c r="F18" s="524">
        <v>31589</v>
      </c>
      <c r="G18" s="524"/>
      <c r="H18" s="524">
        <v>2127</v>
      </c>
      <c r="I18" s="524">
        <v>65678</v>
      </c>
      <c r="J18" s="523">
        <v>369916</v>
      </c>
      <c r="K18" s="523"/>
      <c r="L18" s="523"/>
      <c r="M18" s="523"/>
      <c r="N18" s="524">
        <v>0</v>
      </c>
      <c r="O18" s="524">
        <v>0</v>
      </c>
      <c r="P18" s="524">
        <v>0</v>
      </c>
      <c r="Q18" s="523">
        <v>0</v>
      </c>
      <c r="R18" s="523"/>
      <c r="S18" s="524"/>
      <c r="T18" s="523"/>
      <c r="U18" s="523"/>
      <c r="V18" s="525"/>
      <c r="W18" s="67"/>
      <c r="X18" s="67"/>
      <c r="Y18" s="67"/>
      <c r="Z18" s="67"/>
    </row>
    <row r="19" spans="1:26" s="82" customFormat="1" ht="15.5">
      <c r="A19" s="532"/>
      <c r="B19" s="524" t="s">
        <v>530</v>
      </c>
      <c r="C19" s="524">
        <v>79052</v>
      </c>
      <c r="D19" s="524">
        <v>36529</v>
      </c>
      <c r="E19" s="524">
        <v>154623</v>
      </c>
      <c r="F19" s="524">
        <v>31771</v>
      </c>
      <c r="G19" s="524"/>
      <c r="H19" s="524">
        <v>2592</v>
      </c>
      <c r="I19" s="524">
        <v>63129</v>
      </c>
      <c r="J19" s="523">
        <v>367696</v>
      </c>
      <c r="K19" s="523"/>
      <c r="L19" s="523"/>
      <c r="M19" s="523"/>
      <c r="N19" s="524">
        <v>0</v>
      </c>
      <c r="O19" s="524">
        <v>0</v>
      </c>
      <c r="P19" s="524">
        <v>0</v>
      </c>
      <c r="Q19" s="523">
        <v>0</v>
      </c>
      <c r="R19" s="523"/>
      <c r="S19" s="524"/>
      <c r="T19" s="523"/>
      <c r="U19" s="523"/>
      <c r="V19" s="525"/>
      <c r="W19" s="67"/>
      <c r="X19" s="67"/>
      <c r="Y19" s="67"/>
      <c r="Z19" s="67"/>
    </row>
    <row r="20" spans="1:26" s="82" customFormat="1" ht="15.5">
      <c r="A20" s="532"/>
      <c r="B20" s="524" t="s">
        <v>531</v>
      </c>
      <c r="C20" s="524">
        <v>24966</v>
      </c>
      <c r="D20" s="524">
        <v>11878</v>
      </c>
      <c r="E20" s="524">
        <v>106855</v>
      </c>
      <c r="F20" s="524">
        <v>25563</v>
      </c>
      <c r="G20" s="524">
        <v>0</v>
      </c>
      <c r="H20" s="524">
        <v>845</v>
      </c>
      <c r="I20" s="524">
        <v>7769</v>
      </c>
      <c r="J20" s="523">
        <v>177876</v>
      </c>
      <c r="K20" s="523">
        <v>0</v>
      </c>
      <c r="L20" s="523">
        <v>0</v>
      </c>
      <c r="M20" s="523">
        <v>0</v>
      </c>
      <c r="N20" s="524">
        <v>0</v>
      </c>
      <c r="O20" s="524">
        <v>0</v>
      </c>
      <c r="P20" s="524">
        <v>0</v>
      </c>
      <c r="Q20" s="523">
        <v>0</v>
      </c>
      <c r="R20" s="523">
        <v>0</v>
      </c>
      <c r="S20" s="524">
        <v>0</v>
      </c>
      <c r="T20" s="523">
        <v>0</v>
      </c>
      <c r="U20" s="523">
        <v>0</v>
      </c>
      <c r="V20" s="525">
        <v>0</v>
      </c>
      <c r="W20" s="67"/>
      <c r="X20" s="67"/>
      <c r="Y20" s="67"/>
      <c r="Z20" s="67"/>
    </row>
    <row r="21" spans="1:26" s="82" customFormat="1" ht="15.5">
      <c r="A21" s="534"/>
      <c r="B21" s="524" t="s">
        <v>532</v>
      </c>
      <c r="C21" s="524">
        <v>31621</v>
      </c>
      <c r="D21" s="524">
        <v>12172</v>
      </c>
      <c r="E21" s="524">
        <v>116305</v>
      </c>
      <c r="F21" s="524">
        <v>28580</v>
      </c>
      <c r="G21" s="524">
        <v>0</v>
      </c>
      <c r="H21" s="524">
        <v>1434</v>
      </c>
      <c r="I21" s="524">
        <v>15530</v>
      </c>
      <c r="J21" s="523">
        <v>205642</v>
      </c>
      <c r="K21" s="523">
        <v>0</v>
      </c>
      <c r="L21" s="523">
        <v>0</v>
      </c>
      <c r="M21" s="523">
        <v>0</v>
      </c>
      <c r="N21" s="524">
        <v>0</v>
      </c>
      <c r="O21" s="524">
        <v>0</v>
      </c>
      <c r="P21" s="524">
        <v>0</v>
      </c>
      <c r="Q21" s="523">
        <v>0</v>
      </c>
      <c r="R21" s="523">
        <v>0</v>
      </c>
      <c r="S21" s="524">
        <v>0</v>
      </c>
      <c r="T21" s="523">
        <v>0</v>
      </c>
      <c r="U21" s="523">
        <v>0</v>
      </c>
      <c r="V21" s="525">
        <v>0</v>
      </c>
      <c r="W21" s="67"/>
      <c r="X21" s="67"/>
      <c r="Y21" s="67"/>
      <c r="Z21" s="67"/>
    </row>
    <row r="22" spans="1:26" s="82" customFormat="1" ht="15.5">
      <c r="A22" s="521" t="s">
        <v>110</v>
      </c>
      <c r="B22" s="524" t="s">
        <v>525</v>
      </c>
      <c r="C22" s="521">
        <v>599291</v>
      </c>
      <c r="D22" s="521"/>
      <c r="E22" s="521">
        <v>128111</v>
      </c>
      <c r="F22" s="521"/>
      <c r="G22" s="521"/>
      <c r="H22" s="521"/>
      <c r="I22" s="521"/>
      <c r="J22" s="520">
        <v>727402</v>
      </c>
      <c r="K22" s="520"/>
      <c r="L22" s="520"/>
      <c r="M22" s="520"/>
      <c r="N22" s="521"/>
      <c r="O22" s="521">
        <v>259787</v>
      </c>
      <c r="P22" s="521"/>
      <c r="Q22" s="520">
        <v>259787</v>
      </c>
      <c r="R22" s="520"/>
      <c r="S22" s="521"/>
      <c r="T22" s="520"/>
      <c r="U22" s="520"/>
      <c r="V22" s="522"/>
      <c r="W22" s="67"/>
      <c r="X22" s="67"/>
      <c r="Y22" s="67"/>
      <c r="Z22" s="67"/>
    </row>
    <row r="23" spans="1:26" s="82" customFormat="1" ht="15.5">
      <c r="A23" s="532"/>
      <c r="B23" s="524" t="s">
        <v>526</v>
      </c>
      <c r="C23" s="524">
        <v>600612</v>
      </c>
      <c r="D23" s="524"/>
      <c r="E23" s="524">
        <v>131706</v>
      </c>
      <c r="F23" s="524"/>
      <c r="G23" s="524"/>
      <c r="H23" s="524"/>
      <c r="I23" s="524"/>
      <c r="J23" s="523">
        <v>732318</v>
      </c>
      <c r="K23" s="523"/>
      <c r="L23" s="523"/>
      <c r="M23" s="523"/>
      <c r="N23" s="524"/>
      <c r="O23" s="524">
        <v>240081</v>
      </c>
      <c r="P23" s="524"/>
      <c r="Q23" s="523">
        <v>240081</v>
      </c>
      <c r="R23" s="523"/>
      <c r="S23" s="524"/>
      <c r="T23" s="523"/>
      <c r="U23" s="523"/>
      <c r="V23" s="525"/>
      <c r="W23" s="67"/>
      <c r="X23" s="67"/>
      <c r="Y23" s="67"/>
      <c r="Z23" s="67"/>
    </row>
    <row r="24" spans="1:26" s="82" customFormat="1" ht="15.5">
      <c r="A24" s="532"/>
      <c r="B24" s="524" t="s">
        <v>527</v>
      </c>
      <c r="C24" s="524">
        <v>24983</v>
      </c>
      <c r="D24" s="524">
        <v>0</v>
      </c>
      <c r="E24" s="524">
        <v>15157</v>
      </c>
      <c r="F24" s="524">
        <v>0</v>
      </c>
      <c r="G24" s="524">
        <v>0</v>
      </c>
      <c r="H24" s="524">
        <v>0</v>
      </c>
      <c r="I24" s="524">
        <v>0</v>
      </c>
      <c r="J24" s="523">
        <v>40140</v>
      </c>
      <c r="K24" s="523">
        <v>0</v>
      </c>
      <c r="L24" s="523">
        <v>0</v>
      </c>
      <c r="M24" s="523">
        <v>0</v>
      </c>
      <c r="N24" s="524">
        <v>0</v>
      </c>
      <c r="O24" s="524">
        <v>54890</v>
      </c>
      <c r="P24" s="524">
        <v>0</v>
      </c>
      <c r="Q24" s="523">
        <v>54890</v>
      </c>
      <c r="R24" s="523">
        <v>0</v>
      </c>
      <c r="S24" s="524">
        <v>0</v>
      </c>
      <c r="T24" s="523">
        <v>0</v>
      </c>
      <c r="U24" s="523">
        <v>0</v>
      </c>
      <c r="V24" s="525">
        <v>0</v>
      </c>
      <c r="W24" s="67"/>
      <c r="X24" s="67"/>
      <c r="Y24" s="67"/>
      <c r="Z24" s="67"/>
    </row>
    <row r="25" spans="1:26" s="82" customFormat="1" ht="15.5">
      <c r="A25" s="532"/>
      <c r="B25" s="524" t="s">
        <v>528</v>
      </c>
      <c r="C25" s="524">
        <v>305833</v>
      </c>
      <c r="D25" s="524">
        <v>0</v>
      </c>
      <c r="E25" s="524">
        <v>27268</v>
      </c>
      <c r="F25" s="524">
        <v>0</v>
      </c>
      <c r="G25" s="524">
        <v>0</v>
      </c>
      <c r="H25" s="524">
        <v>0</v>
      </c>
      <c r="I25" s="524">
        <v>0</v>
      </c>
      <c r="J25" s="523">
        <v>333101</v>
      </c>
      <c r="K25" s="523">
        <v>0</v>
      </c>
      <c r="L25" s="523">
        <v>0</v>
      </c>
      <c r="M25" s="523">
        <v>0</v>
      </c>
      <c r="N25" s="524">
        <v>0</v>
      </c>
      <c r="O25" s="524">
        <v>62047</v>
      </c>
      <c r="P25" s="524">
        <v>0</v>
      </c>
      <c r="Q25" s="523">
        <v>62047</v>
      </c>
      <c r="R25" s="523">
        <v>0</v>
      </c>
      <c r="S25" s="524">
        <v>0</v>
      </c>
      <c r="T25" s="523">
        <v>0</v>
      </c>
      <c r="U25" s="523">
        <v>0</v>
      </c>
      <c r="V25" s="525">
        <v>0</v>
      </c>
      <c r="W25" s="67"/>
      <c r="X25" s="67"/>
      <c r="Y25" s="67"/>
      <c r="Z25" s="67"/>
    </row>
    <row r="26" spans="1:26" s="82" customFormat="1" ht="15.5">
      <c r="A26" s="532"/>
      <c r="B26" s="524" t="s">
        <v>529</v>
      </c>
      <c r="C26" s="524">
        <v>75200</v>
      </c>
      <c r="D26" s="524"/>
      <c r="E26" s="524">
        <v>7243</v>
      </c>
      <c r="F26" s="524"/>
      <c r="G26" s="524"/>
      <c r="H26" s="524"/>
      <c r="I26" s="524"/>
      <c r="J26" s="523">
        <v>82443</v>
      </c>
      <c r="K26" s="523"/>
      <c r="L26" s="523"/>
      <c r="M26" s="523"/>
      <c r="N26" s="524"/>
      <c r="O26" s="524">
        <v>0</v>
      </c>
      <c r="P26" s="524"/>
      <c r="Q26" s="523">
        <v>0</v>
      </c>
      <c r="R26" s="523"/>
      <c r="S26" s="524"/>
      <c r="T26" s="523"/>
      <c r="U26" s="523"/>
      <c r="V26" s="525"/>
      <c r="W26" s="67"/>
      <c r="X26" s="67"/>
      <c r="Y26" s="67"/>
      <c r="Z26" s="67"/>
    </row>
    <row r="27" spans="1:26" s="82" customFormat="1" ht="15.5">
      <c r="A27" s="532"/>
      <c r="B27" s="524" t="s">
        <v>530</v>
      </c>
      <c r="C27" s="524">
        <v>74608</v>
      </c>
      <c r="D27" s="524"/>
      <c r="E27" s="524">
        <v>9354</v>
      </c>
      <c r="F27" s="524"/>
      <c r="G27" s="524"/>
      <c r="H27" s="524"/>
      <c r="I27" s="524"/>
      <c r="J27" s="523">
        <v>83962</v>
      </c>
      <c r="K27" s="523"/>
      <c r="L27" s="523"/>
      <c r="M27" s="523"/>
      <c r="N27" s="524"/>
      <c r="O27" s="524">
        <v>0</v>
      </c>
      <c r="P27" s="524"/>
      <c r="Q27" s="523">
        <v>0</v>
      </c>
      <c r="R27" s="523"/>
      <c r="S27" s="524"/>
      <c r="T27" s="523"/>
      <c r="U27" s="523"/>
      <c r="V27" s="525"/>
      <c r="W27" s="67"/>
      <c r="X27" s="67"/>
      <c r="Y27" s="67"/>
      <c r="Z27" s="67"/>
    </row>
    <row r="28" spans="1:26" s="82" customFormat="1" ht="15.5">
      <c r="A28" s="532"/>
      <c r="B28" s="524" t="s">
        <v>531</v>
      </c>
      <c r="C28" s="524">
        <v>11193</v>
      </c>
      <c r="D28" s="524">
        <v>0</v>
      </c>
      <c r="E28" s="524">
        <v>2343</v>
      </c>
      <c r="F28" s="524">
        <v>0</v>
      </c>
      <c r="G28" s="524">
        <v>0</v>
      </c>
      <c r="H28" s="524">
        <v>0</v>
      </c>
      <c r="I28" s="524">
        <v>0</v>
      </c>
      <c r="J28" s="523">
        <v>13536</v>
      </c>
      <c r="K28" s="523">
        <v>0</v>
      </c>
      <c r="L28" s="523">
        <v>0</v>
      </c>
      <c r="M28" s="523">
        <v>0</v>
      </c>
      <c r="N28" s="524">
        <v>0</v>
      </c>
      <c r="O28" s="524">
        <v>0</v>
      </c>
      <c r="P28" s="524">
        <v>0</v>
      </c>
      <c r="Q28" s="523">
        <v>0</v>
      </c>
      <c r="R28" s="523">
        <v>0</v>
      </c>
      <c r="S28" s="524">
        <v>0</v>
      </c>
      <c r="T28" s="523">
        <v>0</v>
      </c>
      <c r="U28" s="523">
        <v>0</v>
      </c>
      <c r="V28" s="525">
        <v>0</v>
      </c>
      <c r="W28" s="67"/>
      <c r="X28" s="67"/>
      <c r="Y28" s="67"/>
      <c r="Z28" s="67"/>
    </row>
    <row r="29" spans="1:26" s="82" customFormat="1" ht="15.5">
      <c r="A29" s="532"/>
      <c r="B29" s="524" t="s">
        <v>532</v>
      </c>
      <c r="C29" s="524">
        <v>37536</v>
      </c>
      <c r="D29" s="524">
        <v>0</v>
      </c>
      <c r="E29" s="524">
        <v>4282</v>
      </c>
      <c r="F29" s="524">
        <v>0</v>
      </c>
      <c r="G29" s="524">
        <v>0</v>
      </c>
      <c r="H29" s="524">
        <v>0</v>
      </c>
      <c r="I29" s="524">
        <v>0</v>
      </c>
      <c r="J29" s="523">
        <v>41818</v>
      </c>
      <c r="K29" s="523">
        <v>0</v>
      </c>
      <c r="L29" s="523">
        <v>0</v>
      </c>
      <c r="M29" s="523">
        <v>0</v>
      </c>
      <c r="N29" s="524">
        <v>0</v>
      </c>
      <c r="O29" s="524">
        <v>0</v>
      </c>
      <c r="P29" s="524">
        <v>0</v>
      </c>
      <c r="Q29" s="523">
        <v>0</v>
      </c>
      <c r="R29" s="523">
        <v>0</v>
      </c>
      <c r="S29" s="524">
        <v>0</v>
      </c>
      <c r="T29" s="523">
        <v>0</v>
      </c>
      <c r="U29" s="523">
        <v>0</v>
      </c>
      <c r="V29" s="525">
        <v>0</v>
      </c>
      <c r="W29" s="67"/>
      <c r="X29" s="67"/>
      <c r="Y29" s="67"/>
      <c r="Z29" s="67"/>
    </row>
    <row r="30" spans="1:26" s="82" customFormat="1" ht="15.5">
      <c r="A30" s="533" t="s">
        <v>114</v>
      </c>
      <c r="B30" s="524" t="s">
        <v>525</v>
      </c>
      <c r="C30" s="521"/>
      <c r="D30" s="521"/>
      <c r="E30" s="521"/>
      <c r="F30" s="521"/>
      <c r="G30" s="521"/>
      <c r="H30" s="521"/>
      <c r="I30" s="521"/>
      <c r="J30" s="520"/>
      <c r="K30" s="520"/>
      <c r="L30" s="520"/>
      <c r="M30" s="520">
        <v>8185552</v>
      </c>
      <c r="N30" s="521">
        <v>846901</v>
      </c>
      <c r="O30" s="521"/>
      <c r="P30" s="521">
        <v>41297</v>
      </c>
      <c r="Q30" s="520">
        <v>9073750</v>
      </c>
      <c r="R30" s="520"/>
      <c r="S30" s="521"/>
      <c r="T30" s="520"/>
      <c r="U30" s="520">
        <v>0</v>
      </c>
      <c r="V30" s="522">
        <v>0</v>
      </c>
      <c r="W30" s="67"/>
      <c r="X30" s="67"/>
      <c r="Y30" s="67"/>
      <c r="Z30" s="67"/>
    </row>
    <row r="31" spans="1:26" s="82" customFormat="1" ht="15.5">
      <c r="A31" s="532"/>
      <c r="B31" s="524" t="s">
        <v>526</v>
      </c>
      <c r="C31" s="524"/>
      <c r="D31" s="524"/>
      <c r="E31" s="524"/>
      <c r="F31" s="524"/>
      <c r="G31" s="524"/>
      <c r="H31" s="524"/>
      <c r="I31" s="524"/>
      <c r="J31" s="523"/>
      <c r="K31" s="523"/>
      <c r="L31" s="523"/>
      <c r="M31" s="523">
        <v>7888321</v>
      </c>
      <c r="N31" s="524">
        <v>819310</v>
      </c>
      <c r="O31" s="524"/>
      <c r="P31" s="524">
        <v>42742</v>
      </c>
      <c r="Q31" s="523">
        <v>8750373</v>
      </c>
      <c r="R31" s="523"/>
      <c r="S31" s="524"/>
      <c r="T31" s="523"/>
      <c r="U31" s="523">
        <v>0</v>
      </c>
      <c r="V31" s="525">
        <v>0</v>
      </c>
      <c r="W31" s="67"/>
      <c r="X31" s="67"/>
      <c r="Y31" s="67"/>
      <c r="Z31" s="67"/>
    </row>
    <row r="32" spans="1:26" s="82" customFormat="1" ht="15.5">
      <c r="A32" s="532"/>
      <c r="B32" s="524" t="s">
        <v>527</v>
      </c>
      <c r="C32" s="524">
        <v>0</v>
      </c>
      <c r="D32" s="524">
        <v>0</v>
      </c>
      <c r="E32" s="524">
        <v>0</v>
      </c>
      <c r="F32" s="524">
        <v>0</v>
      </c>
      <c r="G32" s="524">
        <v>0</v>
      </c>
      <c r="H32" s="524">
        <v>0</v>
      </c>
      <c r="I32" s="524">
        <v>0</v>
      </c>
      <c r="J32" s="523">
        <v>0</v>
      </c>
      <c r="K32" s="523">
        <v>0</v>
      </c>
      <c r="L32" s="523">
        <v>0</v>
      </c>
      <c r="M32" s="523">
        <v>2416129</v>
      </c>
      <c r="N32" s="524">
        <v>291456</v>
      </c>
      <c r="O32" s="524">
        <v>0</v>
      </c>
      <c r="P32" s="524">
        <v>14921</v>
      </c>
      <c r="Q32" s="523">
        <v>2722506</v>
      </c>
      <c r="R32" s="523">
        <v>0</v>
      </c>
      <c r="S32" s="524">
        <v>0</v>
      </c>
      <c r="T32" s="523">
        <v>0</v>
      </c>
      <c r="U32" s="523">
        <v>0</v>
      </c>
      <c r="V32" s="525">
        <v>0</v>
      </c>
      <c r="W32" s="67"/>
      <c r="X32" s="67"/>
      <c r="Y32" s="67"/>
      <c r="Z32" s="67"/>
    </row>
    <row r="33" spans="1:26" s="82" customFormat="1" ht="15.5">
      <c r="A33" s="532"/>
      <c r="B33" s="524" t="s">
        <v>528</v>
      </c>
      <c r="C33" s="524">
        <v>0</v>
      </c>
      <c r="D33" s="524">
        <v>0</v>
      </c>
      <c r="E33" s="524">
        <v>0</v>
      </c>
      <c r="F33" s="524">
        <v>0</v>
      </c>
      <c r="G33" s="524">
        <v>0</v>
      </c>
      <c r="H33" s="524">
        <v>0</v>
      </c>
      <c r="I33" s="524">
        <v>0</v>
      </c>
      <c r="J33" s="523">
        <v>0</v>
      </c>
      <c r="K33" s="523">
        <v>0</v>
      </c>
      <c r="L33" s="523">
        <v>0</v>
      </c>
      <c r="M33" s="523">
        <v>4832411</v>
      </c>
      <c r="N33" s="524">
        <v>521344</v>
      </c>
      <c r="O33" s="524">
        <v>0</v>
      </c>
      <c r="P33" s="524">
        <v>24348</v>
      </c>
      <c r="Q33" s="523">
        <v>5378103</v>
      </c>
      <c r="R33" s="523">
        <v>0</v>
      </c>
      <c r="S33" s="524">
        <v>0</v>
      </c>
      <c r="T33" s="523">
        <v>0</v>
      </c>
      <c r="U33" s="523">
        <v>0</v>
      </c>
      <c r="V33" s="525">
        <v>0</v>
      </c>
      <c r="W33" s="67"/>
      <c r="X33" s="67"/>
      <c r="Y33" s="67"/>
      <c r="Z33" s="67"/>
    </row>
    <row r="34" spans="1:26" s="82" customFormat="1" ht="15.5">
      <c r="A34" s="532"/>
      <c r="B34" s="524" t="s">
        <v>529</v>
      </c>
      <c r="C34" s="524"/>
      <c r="D34" s="524"/>
      <c r="E34" s="524"/>
      <c r="F34" s="524"/>
      <c r="G34" s="524"/>
      <c r="H34" s="524"/>
      <c r="I34" s="524"/>
      <c r="J34" s="523"/>
      <c r="K34" s="523"/>
      <c r="L34" s="523"/>
      <c r="M34" s="523">
        <v>0</v>
      </c>
      <c r="N34" s="524">
        <v>0</v>
      </c>
      <c r="O34" s="524"/>
      <c r="P34" s="524">
        <v>0</v>
      </c>
      <c r="Q34" s="523">
        <v>0</v>
      </c>
      <c r="R34" s="523"/>
      <c r="S34" s="524"/>
      <c r="T34" s="523"/>
      <c r="U34" s="523">
        <v>0</v>
      </c>
      <c r="V34" s="525">
        <v>0</v>
      </c>
      <c r="W34" s="67"/>
      <c r="X34" s="67"/>
      <c r="Y34" s="67"/>
      <c r="Z34" s="67"/>
    </row>
    <row r="35" spans="1:26" s="82" customFormat="1" ht="15.5">
      <c r="A35" s="532"/>
      <c r="B35" s="524" t="s">
        <v>530</v>
      </c>
      <c r="C35" s="524"/>
      <c r="D35" s="524"/>
      <c r="E35" s="524"/>
      <c r="F35" s="524"/>
      <c r="G35" s="524"/>
      <c r="H35" s="524"/>
      <c r="I35" s="524"/>
      <c r="J35" s="523"/>
      <c r="K35" s="523"/>
      <c r="L35" s="523"/>
      <c r="M35" s="523">
        <v>0</v>
      </c>
      <c r="N35" s="524">
        <v>0</v>
      </c>
      <c r="O35" s="524"/>
      <c r="P35" s="524">
        <v>0</v>
      </c>
      <c r="Q35" s="523">
        <v>0</v>
      </c>
      <c r="R35" s="523"/>
      <c r="S35" s="524"/>
      <c r="T35" s="523"/>
      <c r="U35" s="523">
        <v>0</v>
      </c>
      <c r="V35" s="525">
        <v>0</v>
      </c>
      <c r="W35" s="67"/>
      <c r="X35" s="67"/>
      <c r="Y35" s="67"/>
      <c r="Z35" s="67"/>
    </row>
    <row r="36" spans="1:26" s="82" customFormat="1" ht="15.5">
      <c r="A36" s="532"/>
      <c r="B36" s="524" t="s">
        <v>531</v>
      </c>
      <c r="C36" s="524">
        <v>0</v>
      </c>
      <c r="D36" s="524">
        <v>0</v>
      </c>
      <c r="E36" s="524">
        <v>0</v>
      </c>
      <c r="F36" s="524">
        <v>0</v>
      </c>
      <c r="G36" s="524">
        <v>0</v>
      </c>
      <c r="H36" s="524">
        <v>0</v>
      </c>
      <c r="I36" s="524">
        <v>0</v>
      </c>
      <c r="J36" s="523">
        <v>0</v>
      </c>
      <c r="K36" s="523">
        <v>0</v>
      </c>
      <c r="L36" s="523">
        <v>0</v>
      </c>
      <c r="M36" s="523">
        <v>0</v>
      </c>
      <c r="N36" s="524">
        <v>0</v>
      </c>
      <c r="O36" s="524">
        <v>0</v>
      </c>
      <c r="P36" s="524">
        <v>0</v>
      </c>
      <c r="Q36" s="523">
        <v>0</v>
      </c>
      <c r="R36" s="523">
        <v>0</v>
      </c>
      <c r="S36" s="524">
        <v>0</v>
      </c>
      <c r="T36" s="523">
        <v>0</v>
      </c>
      <c r="U36" s="523">
        <v>0</v>
      </c>
      <c r="V36" s="525">
        <v>0</v>
      </c>
      <c r="W36" s="67"/>
      <c r="X36" s="67"/>
      <c r="Y36" s="67"/>
      <c r="Z36" s="67"/>
    </row>
    <row r="37" spans="1:26" s="82" customFormat="1" ht="15.5">
      <c r="A37" s="534"/>
      <c r="B37" s="524" t="s">
        <v>532</v>
      </c>
      <c r="C37" s="524">
        <v>0</v>
      </c>
      <c r="D37" s="524">
        <v>0</v>
      </c>
      <c r="E37" s="524">
        <v>0</v>
      </c>
      <c r="F37" s="524">
        <v>0</v>
      </c>
      <c r="G37" s="524">
        <v>0</v>
      </c>
      <c r="H37" s="524">
        <v>0</v>
      </c>
      <c r="I37" s="524">
        <v>0</v>
      </c>
      <c r="J37" s="523">
        <v>0</v>
      </c>
      <c r="K37" s="523">
        <v>0</v>
      </c>
      <c r="L37" s="523">
        <v>0</v>
      </c>
      <c r="M37" s="523">
        <v>0</v>
      </c>
      <c r="N37" s="524">
        <v>0</v>
      </c>
      <c r="O37" s="524">
        <v>0</v>
      </c>
      <c r="P37" s="524">
        <v>0</v>
      </c>
      <c r="Q37" s="523">
        <v>0</v>
      </c>
      <c r="R37" s="523">
        <v>0</v>
      </c>
      <c r="S37" s="524">
        <v>0</v>
      </c>
      <c r="T37" s="523">
        <v>0</v>
      </c>
      <c r="U37" s="523">
        <v>0</v>
      </c>
      <c r="V37" s="525">
        <v>0</v>
      </c>
      <c r="W37" s="67"/>
      <c r="X37" s="67"/>
      <c r="Y37" s="67"/>
      <c r="Z37" s="67"/>
    </row>
    <row r="38" spans="1:26" s="82" customFormat="1" ht="15.5">
      <c r="A38" s="533" t="s">
        <v>141</v>
      </c>
      <c r="B38" s="524" t="s">
        <v>525</v>
      </c>
      <c r="C38" s="521">
        <v>2018446</v>
      </c>
      <c r="D38" s="521">
        <v>456127.53</v>
      </c>
      <c r="E38" s="521">
        <v>2065777</v>
      </c>
      <c r="F38" s="521">
        <v>1335860</v>
      </c>
      <c r="G38" s="521">
        <v>357570</v>
      </c>
      <c r="H38" s="521">
        <v>694773</v>
      </c>
      <c r="I38" s="521"/>
      <c r="J38" s="520">
        <v>6928553.5300000003</v>
      </c>
      <c r="K38" s="520"/>
      <c r="L38" s="520"/>
      <c r="M38" s="520">
        <v>302780</v>
      </c>
      <c r="N38" s="521"/>
      <c r="O38" s="521"/>
      <c r="P38" s="521"/>
      <c r="Q38" s="520">
        <v>302780</v>
      </c>
      <c r="R38" s="520">
        <v>2038837.4</v>
      </c>
      <c r="S38" s="521"/>
      <c r="T38" s="520">
        <v>2038837.4</v>
      </c>
      <c r="U38" s="520"/>
      <c r="V38" s="522"/>
      <c r="W38" s="67"/>
      <c r="X38" s="67"/>
      <c r="Y38" s="67"/>
      <c r="Z38" s="67"/>
    </row>
    <row r="39" spans="1:26" s="82" customFormat="1" ht="15.5">
      <c r="A39" s="532"/>
      <c r="B39" s="524" t="s">
        <v>526</v>
      </c>
      <c r="C39" s="524">
        <v>2036165.5</v>
      </c>
      <c r="D39" s="524">
        <v>481969.97</v>
      </c>
      <c r="E39" s="524">
        <v>2138152</v>
      </c>
      <c r="F39" s="524">
        <v>1339602</v>
      </c>
      <c r="G39" s="524">
        <v>358198</v>
      </c>
      <c r="H39" s="524">
        <v>671934</v>
      </c>
      <c r="I39" s="524"/>
      <c r="J39" s="523">
        <v>7026021.4699999997</v>
      </c>
      <c r="K39" s="523"/>
      <c r="L39" s="523"/>
      <c r="M39" s="523">
        <v>276933</v>
      </c>
      <c r="N39" s="524"/>
      <c r="O39" s="524"/>
      <c r="P39" s="524"/>
      <c r="Q39" s="523">
        <v>276933</v>
      </c>
      <c r="R39" s="523">
        <v>1956370.5</v>
      </c>
      <c r="S39" s="524"/>
      <c r="T39" s="523">
        <v>1956370.5</v>
      </c>
      <c r="U39" s="523"/>
      <c r="V39" s="525"/>
      <c r="W39" s="67"/>
      <c r="X39" s="67"/>
      <c r="Y39" s="67"/>
      <c r="Z39" s="67"/>
    </row>
    <row r="40" spans="1:26" s="82" customFormat="1" ht="15.5">
      <c r="A40" s="532"/>
      <c r="B40" s="524" t="s">
        <v>527</v>
      </c>
      <c r="C40" s="524">
        <v>287891</v>
      </c>
      <c r="D40" s="524">
        <v>11076</v>
      </c>
      <c r="E40" s="524">
        <v>589758</v>
      </c>
      <c r="F40" s="524">
        <v>281563</v>
      </c>
      <c r="G40" s="524">
        <v>111758</v>
      </c>
      <c r="H40" s="524">
        <v>79564</v>
      </c>
      <c r="I40" s="524">
        <v>0</v>
      </c>
      <c r="J40" s="523">
        <v>1361610</v>
      </c>
      <c r="K40" s="523">
        <v>0</v>
      </c>
      <c r="L40" s="523">
        <v>0</v>
      </c>
      <c r="M40" s="523">
        <v>88420</v>
      </c>
      <c r="N40" s="524">
        <v>0</v>
      </c>
      <c r="O40" s="524">
        <v>0</v>
      </c>
      <c r="P40" s="524">
        <v>0</v>
      </c>
      <c r="Q40" s="523">
        <v>88420</v>
      </c>
      <c r="R40" s="523">
        <v>789151.5</v>
      </c>
      <c r="S40" s="524">
        <v>0</v>
      </c>
      <c r="T40" s="523">
        <v>789151.5</v>
      </c>
      <c r="U40" s="523">
        <v>0</v>
      </c>
      <c r="V40" s="525">
        <v>0</v>
      </c>
      <c r="W40" s="67"/>
      <c r="X40" s="67"/>
      <c r="Y40" s="67"/>
      <c r="Z40" s="67"/>
    </row>
    <row r="41" spans="1:26" s="82" customFormat="1" ht="15.5">
      <c r="A41" s="532"/>
      <c r="B41" s="524" t="s">
        <v>528</v>
      </c>
      <c r="C41" s="524">
        <v>857281</v>
      </c>
      <c r="D41" s="524">
        <v>274488</v>
      </c>
      <c r="E41" s="524">
        <v>1049946</v>
      </c>
      <c r="F41" s="524">
        <v>526811</v>
      </c>
      <c r="G41" s="524">
        <v>167798</v>
      </c>
      <c r="H41" s="524">
        <v>249310</v>
      </c>
      <c r="I41" s="524">
        <v>0</v>
      </c>
      <c r="J41" s="523">
        <v>3125634</v>
      </c>
      <c r="K41" s="523">
        <v>0</v>
      </c>
      <c r="L41" s="523">
        <v>0</v>
      </c>
      <c r="M41" s="523">
        <v>144634</v>
      </c>
      <c r="N41" s="524">
        <v>0</v>
      </c>
      <c r="O41" s="524">
        <v>0</v>
      </c>
      <c r="P41" s="524">
        <v>0</v>
      </c>
      <c r="Q41" s="523">
        <v>144634</v>
      </c>
      <c r="R41" s="523">
        <v>1090357</v>
      </c>
      <c r="S41" s="524">
        <v>0</v>
      </c>
      <c r="T41" s="523">
        <v>1090357</v>
      </c>
      <c r="U41" s="523">
        <v>0</v>
      </c>
      <c r="V41" s="525">
        <v>0</v>
      </c>
      <c r="W41" s="67"/>
      <c r="X41" s="67"/>
      <c r="Y41" s="67"/>
      <c r="Z41" s="67"/>
    </row>
    <row r="42" spans="1:26" s="82" customFormat="1" ht="15.5">
      <c r="A42" s="532"/>
      <c r="B42" s="524" t="s">
        <v>529</v>
      </c>
      <c r="C42" s="524">
        <v>506143.2</v>
      </c>
      <c r="D42" s="524">
        <v>375905.5</v>
      </c>
      <c r="E42" s="524">
        <v>212499.1</v>
      </c>
      <c r="F42" s="524">
        <v>291402</v>
      </c>
      <c r="G42" s="524">
        <v>14787</v>
      </c>
      <c r="H42" s="524">
        <v>0</v>
      </c>
      <c r="I42" s="524"/>
      <c r="J42" s="523">
        <v>1400736.8</v>
      </c>
      <c r="K42" s="523"/>
      <c r="L42" s="523"/>
      <c r="M42" s="523">
        <v>0</v>
      </c>
      <c r="N42" s="524"/>
      <c r="O42" s="524"/>
      <c r="P42" s="524"/>
      <c r="Q42" s="523">
        <v>0</v>
      </c>
      <c r="R42" s="523">
        <v>0</v>
      </c>
      <c r="S42" s="524"/>
      <c r="T42" s="523">
        <v>0</v>
      </c>
      <c r="U42" s="523"/>
      <c r="V42" s="525"/>
      <c r="W42" s="67"/>
      <c r="X42" s="67"/>
      <c r="Y42" s="67"/>
      <c r="Z42" s="67"/>
    </row>
    <row r="43" spans="1:26" s="82" customFormat="1" ht="15.5">
      <c r="A43" s="532"/>
      <c r="B43" s="524" t="s">
        <v>530</v>
      </c>
      <c r="C43" s="524">
        <v>510578.9</v>
      </c>
      <c r="D43" s="524">
        <v>402738.5</v>
      </c>
      <c r="E43" s="524">
        <v>227914</v>
      </c>
      <c r="F43" s="524">
        <v>305038</v>
      </c>
      <c r="G43" s="524">
        <v>16163</v>
      </c>
      <c r="H43" s="524">
        <v>0</v>
      </c>
      <c r="I43" s="524"/>
      <c r="J43" s="523">
        <v>1462432.4</v>
      </c>
      <c r="K43" s="523"/>
      <c r="L43" s="523"/>
      <c r="M43" s="523">
        <v>0</v>
      </c>
      <c r="N43" s="524"/>
      <c r="O43" s="524"/>
      <c r="P43" s="524"/>
      <c r="Q43" s="523">
        <v>0</v>
      </c>
      <c r="R43" s="523">
        <v>0</v>
      </c>
      <c r="S43" s="524"/>
      <c r="T43" s="523">
        <v>0</v>
      </c>
      <c r="U43" s="523"/>
      <c r="V43" s="525"/>
      <c r="W43" s="67"/>
      <c r="X43" s="67"/>
      <c r="Y43" s="67"/>
      <c r="Z43" s="67"/>
    </row>
    <row r="44" spans="1:26" s="82" customFormat="1" ht="15.5">
      <c r="A44" s="532"/>
      <c r="B44" s="524" t="s">
        <v>531</v>
      </c>
      <c r="C44" s="524">
        <v>35077.5</v>
      </c>
      <c r="D44" s="524">
        <v>124792</v>
      </c>
      <c r="E44" s="524">
        <v>148016.1</v>
      </c>
      <c r="F44" s="524">
        <v>69839</v>
      </c>
      <c r="G44" s="524">
        <v>6770</v>
      </c>
      <c r="H44" s="524">
        <v>0</v>
      </c>
      <c r="I44" s="524">
        <v>0</v>
      </c>
      <c r="J44" s="523">
        <v>384494.6</v>
      </c>
      <c r="K44" s="523">
        <v>0</v>
      </c>
      <c r="L44" s="523">
        <v>0</v>
      </c>
      <c r="M44" s="523">
        <v>0</v>
      </c>
      <c r="N44" s="524">
        <v>0</v>
      </c>
      <c r="O44" s="524">
        <v>0</v>
      </c>
      <c r="P44" s="524">
        <v>0</v>
      </c>
      <c r="Q44" s="523">
        <v>0</v>
      </c>
      <c r="R44" s="523">
        <v>0</v>
      </c>
      <c r="S44" s="524">
        <v>0</v>
      </c>
      <c r="T44" s="523">
        <v>0</v>
      </c>
      <c r="U44" s="523">
        <v>0</v>
      </c>
      <c r="V44" s="525">
        <v>0</v>
      </c>
      <c r="W44" s="67"/>
      <c r="X44" s="67"/>
      <c r="Y44" s="67"/>
      <c r="Z44" s="67"/>
    </row>
    <row r="45" spans="1:26" s="82" customFormat="1" ht="15.5">
      <c r="A45" s="534"/>
      <c r="B45" s="524" t="s">
        <v>532</v>
      </c>
      <c r="C45" s="524">
        <v>163266.70000000001</v>
      </c>
      <c r="D45" s="524">
        <v>243333.5</v>
      </c>
      <c r="E45" s="524">
        <v>180275</v>
      </c>
      <c r="F45" s="524">
        <v>120134</v>
      </c>
      <c r="G45" s="524">
        <v>10707</v>
      </c>
      <c r="H45" s="524">
        <v>0</v>
      </c>
      <c r="I45" s="524">
        <v>0</v>
      </c>
      <c r="J45" s="523">
        <v>717716.2</v>
      </c>
      <c r="K45" s="523">
        <v>0</v>
      </c>
      <c r="L45" s="523">
        <v>0</v>
      </c>
      <c r="M45" s="523">
        <v>0</v>
      </c>
      <c r="N45" s="524">
        <v>0</v>
      </c>
      <c r="O45" s="524">
        <v>0</v>
      </c>
      <c r="P45" s="524">
        <v>0</v>
      </c>
      <c r="Q45" s="523">
        <v>0</v>
      </c>
      <c r="R45" s="523">
        <v>0</v>
      </c>
      <c r="S45" s="524">
        <v>0</v>
      </c>
      <c r="T45" s="523">
        <v>0</v>
      </c>
      <c r="U45" s="523">
        <v>0</v>
      </c>
      <c r="V45" s="525">
        <v>0</v>
      </c>
      <c r="W45" s="67"/>
      <c r="X45" s="67"/>
      <c r="Y45" s="67"/>
      <c r="Z45" s="67"/>
    </row>
    <row r="46" spans="1:26" s="82" customFormat="1" ht="15.5">
      <c r="A46" s="521" t="s">
        <v>188</v>
      </c>
      <c r="B46" s="524" t="s">
        <v>525</v>
      </c>
      <c r="C46" s="521">
        <v>1047414</v>
      </c>
      <c r="D46" s="521"/>
      <c r="E46" s="521">
        <v>1486308.5</v>
      </c>
      <c r="F46" s="521">
        <v>44950.5</v>
      </c>
      <c r="G46" s="521"/>
      <c r="H46" s="521"/>
      <c r="I46" s="521"/>
      <c r="J46" s="520">
        <v>2578673</v>
      </c>
      <c r="K46" s="520"/>
      <c r="L46" s="520"/>
      <c r="M46" s="520"/>
      <c r="N46" s="521">
        <v>387530.02</v>
      </c>
      <c r="O46" s="521">
        <v>400623.07</v>
      </c>
      <c r="P46" s="521">
        <v>387129.47000000003</v>
      </c>
      <c r="Q46" s="520">
        <v>1175282.56</v>
      </c>
      <c r="R46" s="520">
        <v>154521.29999999999</v>
      </c>
      <c r="S46" s="521"/>
      <c r="T46" s="520">
        <v>154521.29999999999</v>
      </c>
      <c r="U46" s="520"/>
      <c r="V46" s="522"/>
      <c r="W46" s="67"/>
      <c r="X46" s="67"/>
      <c r="Y46" s="67"/>
      <c r="Z46" s="67"/>
    </row>
    <row r="47" spans="1:26" s="82" customFormat="1" ht="15.5">
      <c r="A47" s="532"/>
      <c r="B47" s="524" t="s">
        <v>526</v>
      </c>
      <c r="C47" s="524">
        <v>996378</v>
      </c>
      <c r="D47" s="524"/>
      <c r="E47" s="524">
        <v>1428500</v>
      </c>
      <c r="F47" s="524">
        <v>51840</v>
      </c>
      <c r="G47" s="524"/>
      <c r="H47" s="524"/>
      <c r="I47" s="524"/>
      <c r="J47" s="523">
        <v>2476718</v>
      </c>
      <c r="K47" s="523"/>
      <c r="L47" s="523"/>
      <c r="M47" s="523"/>
      <c r="N47" s="524">
        <v>390784</v>
      </c>
      <c r="O47" s="524">
        <v>465860</v>
      </c>
      <c r="P47" s="524">
        <v>269678</v>
      </c>
      <c r="Q47" s="523">
        <v>1126322</v>
      </c>
      <c r="R47" s="523">
        <v>151220</v>
      </c>
      <c r="S47" s="524"/>
      <c r="T47" s="523">
        <v>151220</v>
      </c>
      <c r="U47" s="523"/>
      <c r="V47" s="525"/>
      <c r="W47" s="67"/>
      <c r="X47" s="67"/>
      <c r="Y47" s="67"/>
      <c r="Z47" s="67"/>
    </row>
    <row r="48" spans="1:26" s="82" customFormat="1" ht="15.5">
      <c r="A48" s="532"/>
      <c r="B48" s="524" t="s">
        <v>527</v>
      </c>
      <c r="C48" s="524">
        <v>124082</v>
      </c>
      <c r="D48" s="524">
        <v>0</v>
      </c>
      <c r="E48" s="524">
        <v>338293</v>
      </c>
      <c r="F48" s="524">
        <v>15844</v>
      </c>
      <c r="G48" s="524">
        <v>0</v>
      </c>
      <c r="H48" s="524">
        <v>0</v>
      </c>
      <c r="I48" s="524">
        <v>0</v>
      </c>
      <c r="J48" s="523">
        <v>478219</v>
      </c>
      <c r="K48" s="523">
        <v>0</v>
      </c>
      <c r="L48" s="523">
        <v>0</v>
      </c>
      <c r="M48" s="523">
        <v>0</v>
      </c>
      <c r="N48" s="524">
        <v>137332</v>
      </c>
      <c r="O48" s="524">
        <v>182651.1</v>
      </c>
      <c r="P48" s="524">
        <v>193135.8</v>
      </c>
      <c r="Q48" s="523">
        <v>513118.89999999997</v>
      </c>
      <c r="R48" s="523">
        <v>51906</v>
      </c>
      <c r="S48" s="524">
        <v>0</v>
      </c>
      <c r="T48" s="523">
        <v>51906</v>
      </c>
      <c r="U48" s="523">
        <v>0</v>
      </c>
      <c r="V48" s="525">
        <v>0</v>
      </c>
      <c r="W48" s="67"/>
      <c r="X48" s="67"/>
      <c r="Y48" s="67"/>
      <c r="Z48" s="67"/>
    </row>
    <row r="49" spans="1:26" s="82" customFormat="1" ht="15.5">
      <c r="A49" s="532"/>
      <c r="B49" s="524" t="s">
        <v>528</v>
      </c>
      <c r="C49" s="524">
        <v>390743</v>
      </c>
      <c r="D49" s="524">
        <v>0</v>
      </c>
      <c r="E49" s="524">
        <v>516956</v>
      </c>
      <c r="F49" s="524">
        <v>18791</v>
      </c>
      <c r="G49" s="524">
        <v>0</v>
      </c>
      <c r="H49" s="524">
        <v>0</v>
      </c>
      <c r="I49" s="524">
        <v>0</v>
      </c>
      <c r="J49" s="523">
        <v>926490</v>
      </c>
      <c r="K49" s="523">
        <v>0</v>
      </c>
      <c r="L49" s="523">
        <v>0</v>
      </c>
      <c r="M49" s="523">
        <v>0</v>
      </c>
      <c r="N49" s="524">
        <v>182379</v>
      </c>
      <c r="O49" s="524">
        <v>251371</v>
      </c>
      <c r="P49" s="524">
        <v>145446</v>
      </c>
      <c r="Q49" s="523">
        <v>579196</v>
      </c>
      <c r="R49" s="523">
        <v>65903</v>
      </c>
      <c r="S49" s="524">
        <v>0</v>
      </c>
      <c r="T49" s="523">
        <v>65903</v>
      </c>
      <c r="U49" s="523">
        <v>0</v>
      </c>
      <c r="V49" s="525">
        <v>0</v>
      </c>
      <c r="W49" s="67"/>
      <c r="X49" s="67"/>
      <c r="Y49" s="67"/>
      <c r="Z49" s="67"/>
    </row>
    <row r="50" spans="1:26" s="82" customFormat="1" ht="15.5">
      <c r="A50" s="532"/>
      <c r="B50" s="524" t="s">
        <v>529</v>
      </c>
      <c r="C50" s="524">
        <v>162753</v>
      </c>
      <c r="D50" s="524"/>
      <c r="E50" s="524">
        <v>168411.5</v>
      </c>
      <c r="F50" s="524">
        <v>1714.5</v>
      </c>
      <c r="G50" s="524"/>
      <c r="H50" s="524"/>
      <c r="I50" s="524"/>
      <c r="J50" s="523">
        <v>332879</v>
      </c>
      <c r="K50" s="523"/>
      <c r="L50" s="523"/>
      <c r="M50" s="523"/>
      <c r="N50" s="524">
        <v>0</v>
      </c>
      <c r="O50" s="524">
        <v>0</v>
      </c>
      <c r="P50" s="524">
        <v>0</v>
      </c>
      <c r="Q50" s="523">
        <v>0</v>
      </c>
      <c r="R50" s="523">
        <v>0</v>
      </c>
      <c r="S50" s="524"/>
      <c r="T50" s="523">
        <v>0</v>
      </c>
      <c r="U50" s="523"/>
      <c r="V50" s="525"/>
      <c r="W50" s="67"/>
      <c r="X50" s="67"/>
      <c r="Y50" s="67"/>
      <c r="Z50" s="67"/>
    </row>
    <row r="51" spans="1:26" s="82" customFormat="1" ht="15.5">
      <c r="A51" s="532"/>
      <c r="B51" s="524" t="s">
        <v>530</v>
      </c>
      <c r="C51" s="524">
        <v>169518</v>
      </c>
      <c r="D51" s="524"/>
      <c r="E51" s="524">
        <v>185364</v>
      </c>
      <c r="F51" s="524">
        <v>1914</v>
      </c>
      <c r="G51" s="524"/>
      <c r="H51" s="524"/>
      <c r="I51" s="524"/>
      <c r="J51" s="523">
        <v>356796</v>
      </c>
      <c r="K51" s="523"/>
      <c r="L51" s="523"/>
      <c r="M51" s="523"/>
      <c r="N51" s="524">
        <v>0</v>
      </c>
      <c r="O51" s="524">
        <v>0</v>
      </c>
      <c r="P51" s="524">
        <v>0</v>
      </c>
      <c r="Q51" s="523">
        <v>0</v>
      </c>
      <c r="R51" s="523">
        <v>0</v>
      </c>
      <c r="S51" s="524"/>
      <c r="T51" s="523">
        <v>0</v>
      </c>
      <c r="U51" s="523"/>
      <c r="V51" s="525"/>
      <c r="W51" s="67"/>
      <c r="X51" s="67"/>
      <c r="Y51" s="67"/>
      <c r="Z51" s="67"/>
    </row>
    <row r="52" spans="1:26" s="82" customFormat="1" ht="15.5">
      <c r="A52" s="532"/>
      <c r="B52" s="524" t="s">
        <v>531</v>
      </c>
      <c r="C52" s="524">
        <v>44923.5</v>
      </c>
      <c r="D52" s="524">
        <v>0</v>
      </c>
      <c r="E52" s="524">
        <v>101180</v>
      </c>
      <c r="F52" s="524">
        <v>471</v>
      </c>
      <c r="G52" s="524">
        <v>0</v>
      </c>
      <c r="H52" s="524">
        <v>0</v>
      </c>
      <c r="I52" s="524">
        <v>0</v>
      </c>
      <c r="J52" s="523">
        <v>146574.5</v>
      </c>
      <c r="K52" s="523">
        <v>0</v>
      </c>
      <c r="L52" s="523">
        <v>0</v>
      </c>
      <c r="M52" s="523">
        <v>0</v>
      </c>
      <c r="N52" s="524">
        <v>0</v>
      </c>
      <c r="O52" s="524">
        <v>0</v>
      </c>
      <c r="P52" s="524">
        <v>0</v>
      </c>
      <c r="Q52" s="523">
        <v>0</v>
      </c>
      <c r="R52" s="523">
        <v>0</v>
      </c>
      <c r="S52" s="524">
        <v>0</v>
      </c>
      <c r="T52" s="523">
        <v>0</v>
      </c>
      <c r="U52" s="523">
        <v>0</v>
      </c>
      <c r="V52" s="525">
        <v>0</v>
      </c>
      <c r="W52" s="67"/>
      <c r="X52" s="67"/>
      <c r="Y52" s="67"/>
      <c r="Z52" s="67"/>
    </row>
    <row r="53" spans="1:26" s="82" customFormat="1" ht="15.5">
      <c r="A53" s="534"/>
      <c r="B53" s="524" t="s">
        <v>532</v>
      </c>
      <c r="C53" s="524">
        <v>87901</v>
      </c>
      <c r="D53" s="524">
        <v>0</v>
      </c>
      <c r="E53" s="524">
        <v>133878</v>
      </c>
      <c r="F53" s="524">
        <v>819</v>
      </c>
      <c r="G53" s="524">
        <v>0</v>
      </c>
      <c r="H53" s="524">
        <v>0</v>
      </c>
      <c r="I53" s="524">
        <v>0</v>
      </c>
      <c r="J53" s="523">
        <v>222598</v>
      </c>
      <c r="K53" s="523">
        <v>0</v>
      </c>
      <c r="L53" s="523">
        <v>0</v>
      </c>
      <c r="M53" s="523">
        <v>0</v>
      </c>
      <c r="N53" s="524">
        <v>0</v>
      </c>
      <c r="O53" s="524">
        <v>0</v>
      </c>
      <c r="P53" s="524">
        <v>0</v>
      </c>
      <c r="Q53" s="523">
        <v>0</v>
      </c>
      <c r="R53" s="523">
        <v>0</v>
      </c>
      <c r="S53" s="524">
        <v>0</v>
      </c>
      <c r="T53" s="523">
        <v>0</v>
      </c>
      <c r="U53" s="523">
        <v>0</v>
      </c>
      <c r="V53" s="525">
        <v>0</v>
      </c>
      <c r="W53" s="67"/>
      <c r="X53" s="67"/>
      <c r="Y53" s="67"/>
      <c r="Z53" s="67"/>
    </row>
    <row r="54" spans="1:26" s="82" customFormat="1" ht="15.5">
      <c r="A54" s="521" t="s">
        <v>213</v>
      </c>
      <c r="B54" s="524" t="s">
        <v>525</v>
      </c>
      <c r="C54" s="521">
        <v>701521.99999999988</v>
      </c>
      <c r="D54" s="521">
        <v>818877.99999999953</v>
      </c>
      <c r="E54" s="521">
        <v>848338.00000000023</v>
      </c>
      <c r="F54" s="521">
        <v>579768.00000000047</v>
      </c>
      <c r="G54" s="521">
        <v>46277</v>
      </c>
      <c r="H54" s="521">
        <v>75010</v>
      </c>
      <c r="I54" s="521">
        <v>0</v>
      </c>
      <c r="J54" s="520">
        <v>3069793.0000000005</v>
      </c>
      <c r="K54" s="520"/>
      <c r="L54" s="520"/>
      <c r="M54" s="520"/>
      <c r="N54" s="521">
        <v>440309.99999999988</v>
      </c>
      <c r="O54" s="521">
        <v>496928.5</v>
      </c>
      <c r="P54" s="521">
        <v>105360</v>
      </c>
      <c r="Q54" s="520">
        <v>1042598.4999999999</v>
      </c>
      <c r="R54" s="520">
        <v>236716.50000000006</v>
      </c>
      <c r="S54" s="521">
        <v>24617.999999999996</v>
      </c>
      <c r="T54" s="520">
        <v>261334.50000000006</v>
      </c>
      <c r="U54" s="520"/>
      <c r="V54" s="522"/>
      <c r="W54" s="67"/>
      <c r="X54" s="67"/>
      <c r="Y54" s="67"/>
      <c r="Z54" s="67"/>
    </row>
    <row r="55" spans="1:26" s="82" customFormat="1" ht="15.5">
      <c r="A55" s="532"/>
      <c r="B55" s="524" t="s">
        <v>526</v>
      </c>
      <c r="C55" s="524">
        <v>745363</v>
      </c>
      <c r="D55" s="524">
        <v>795412</v>
      </c>
      <c r="E55" s="524">
        <v>839447.9999999993</v>
      </c>
      <c r="F55" s="524">
        <v>586975</v>
      </c>
      <c r="G55" s="524">
        <v>41596</v>
      </c>
      <c r="H55" s="524">
        <v>80535</v>
      </c>
      <c r="I55" s="524">
        <v>0</v>
      </c>
      <c r="J55" s="523">
        <v>3089328.9999999991</v>
      </c>
      <c r="K55" s="523"/>
      <c r="L55" s="523"/>
      <c r="M55" s="523"/>
      <c r="N55" s="524">
        <v>430515</v>
      </c>
      <c r="O55" s="524">
        <v>476165</v>
      </c>
      <c r="P55" s="524">
        <v>103171</v>
      </c>
      <c r="Q55" s="523">
        <v>1009851</v>
      </c>
      <c r="R55" s="523">
        <v>222545</v>
      </c>
      <c r="S55" s="524">
        <v>22823</v>
      </c>
      <c r="T55" s="523">
        <v>245368</v>
      </c>
      <c r="U55" s="523"/>
      <c r="V55" s="525"/>
      <c r="W55" s="67"/>
      <c r="X55" s="67"/>
      <c r="Y55" s="67"/>
      <c r="Z55" s="67"/>
    </row>
    <row r="56" spans="1:26" s="82" customFormat="1" ht="15.5">
      <c r="A56" s="532"/>
      <c r="B56" s="524" t="s">
        <v>527</v>
      </c>
      <c r="C56" s="524">
        <v>32239.3935815148</v>
      </c>
      <c r="D56" s="524">
        <v>114972.1198773135</v>
      </c>
      <c r="E56" s="524">
        <v>169249.91522992618</v>
      </c>
      <c r="F56" s="524">
        <v>165778.61119046458</v>
      </c>
      <c r="G56" s="524">
        <v>14010.8125</v>
      </c>
      <c r="H56" s="524">
        <v>31302.9666430092</v>
      </c>
      <c r="I56" s="524">
        <v>0</v>
      </c>
      <c r="J56" s="523">
        <v>527553.81902222824</v>
      </c>
      <c r="K56" s="523">
        <v>0</v>
      </c>
      <c r="L56" s="523">
        <v>0</v>
      </c>
      <c r="M56" s="523">
        <v>0</v>
      </c>
      <c r="N56" s="524">
        <v>92750.940262199903</v>
      </c>
      <c r="O56" s="524">
        <v>145808.45253028689</v>
      </c>
      <c r="P56" s="524">
        <v>27268.262601434202</v>
      </c>
      <c r="Q56" s="523">
        <v>265827.65539392101</v>
      </c>
      <c r="R56" s="523">
        <v>52180.760199255834</v>
      </c>
      <c r="S56" s="524">
        <v>149.502024291498</v>
      </c>
      <c r="T56" s="523">
        <v>52330.262223547332</v>
      </c>
      <c r="U56" s="523">
        <v>0</v>
      </c>
      <c r="V56" s="525">
        <v>0</v>
      </c>
      <c r="W56" s="67"/>
      <c r="X56" s="67"/>
      <c r="Y56" s="67"/>
      <c r="Z56" s="67"/>
    </row>
    <row r="57" spans="1:26" s="82" customFormat="1" ht="15.5">
      <c r="A57" s="532"/>
      <c r="B57" s="524" t="s">
        <v>528</v>
      </c>
      <c r="C57" s="524">
        <v>244279.40988299699</v>
      </c>
      <c r="D57" s="524">
        <v>222425.97434551641</v>
      </c>
      <c r="E57" s="524">
        <v>335432.53971201892</v>
      </c>
      <c r="F57" s="524">
        <v>287338.20759294071</v>
      </c>
      <c r="G57" s="524">
        <v>41596</v>
      </c>
      <c r="H57" s="524">
        <v>39002.3908045977</v>
      </c>
      <c r="I57" s="524">
        <v>0</v>
      </c>
      <c r="J57" s="523">
        <v>1170074.5223380707</v>
      </c>
      <c r="K57" s="523">
        <v>0</v>
      </c>
      <c r="L57" s="523">
        <v>0</v>
      </c>
      <c r="M57" s="523">
        <v>0</v>
      </c>
      <c r="N57" s="524">
        <v>240471.1560552216</v>
      </c>
      <c r="O57" s="524">
        <v>228954.14050504399</v>
      </c>
      <c r="P57" s="524">
        <v>47208.8405226588</v>
      </c>
      <c r="Q57" s="523">
        <v>516634.13708292437</v>
      </c>
      <c r="R57" s="523">
        <v>68705.088199322898</v>
      </c>
      <c r="S57" s="524">
        <v>1964.8940397351</v>
      </c>
      <c r="T57" s="523">
        <v>70669.982239057994</v>
      </c>
      <c r="U57" s="523">
        <v>0</v>
      </c>
      <c r="V57" s="525">
        <v>0</v>
      </c>
      <c r="W57" s="67"/>
      <c r="X57" s="67"/>
      <c r="Y57" s="67"/>
      <c r="Z57" s="67"/>
    </row>
    <row r="58" spans="1:26" s="82" customFormat="1" ht="15.5">
      <c r="A58" s="532"/>
      <c r="B58" s="524" t="s">
        <v>529</v>
      </c>
      <c r="C58" s="524">
        <v>143983.50000000038</v>
      </c>
      <c r="D58" s="524">
        <v>84068.000000000015</v>
      </c>
      <c r="E58" s="524">
        <v>82058.999999999971</v>
      </c>
      <c r="F58" s="524">
        <v>140349.00000000003</v>
      </c>
      <c r="G58" s="524">
        <v>8874</v>
      </c>
      <c r="H58" s="524">
        <v>0</v>
      </c>
      <c r="I58" s="524">
        <v>17788</v>
      </c>
      <c r="J58" s="523">
        <v>477121.50000000035</v>
      </c>
      <c r="K58" s="523"/>
      <c r="L58" s="523"/>
      <c r="M58" s="523"/>
      <c r="N58" s="524">
        <v>0</v>
      </c>
      <c r="O58" s="524">
        <v>0</v>
      </c>
      <c r="P58" s="524">
        <v>0</v>
      </c>
      <c r="Q58" s="523">
        <v>0</v>
      </c>
      <c r="R58" s="523">
        <v>0</v>
      </c>
      <c r="S58" s="524">
        <v>0</v>
      </c>
      <c r="T58" s="523">
        <v>0</v>
      </c>
      <c r="U58" s="523"/>
      <c r="V58" s="525"/>
      <c r="W58" s="67"/>
      <c r="X58" s="67"/>
      <c r="Y58" s="67"/>
      <c r="Z58" s="67"/>
    </row>
    <row r="59" spans="1:26" s="82" customFormat="1" ht="15.5">
      <c r="A59" s="532"/>
      <c r="B59" s="524" t="s">
        <v>530</v>
      </c>
      <c r="C59" s="524">
        <v>150237.00000000041</v>
      </c>
      <c r="D59" s="524">
        <v>86146.999999999971</v>
      </c>
      <c r="E59" s="524">
        <v>84497.999999999971</v>
      </c>
      <c r="F59" s="524">
        <v>167952.00000000003</v>
      </c>
      <c r="G59" s="524">
        <v>7039</v>
      </c>
      <c r="H59" s="524">
        <v>0</v>
      </c>
      <c r="I59" s="524">
        <v>21220.000000000051</v>
      </c>
      <c r="J59" s="523">
        <v>517093.00000000041</v>
      </c>
      <c r="K59" s="523"/>
      <c r="L59" s="523"/>
      <c r="M59" s="523"/>
      <c r="N59" s="524">
        <v>0</v>
      </c>
      <c r="O59" s="524">
        <v>0</v>
      </c>
      <c r="P59" s="524">
        <v>0</v>
      </c>
      <c r="Q59" s="523">
        <v>0</v>
      </c>
      <c r="R59" s="523">
        <v>0</v>
      </c>
      <c r="S59" s="524">
        <v>0</v>
      </c>
      <c r="T59" s="523">
        <v>0</v>
      </c>
      <c r="U59" s="523"/>
      <c r="V59" s="525"/>
      <c r="W59" s="67"/>
      <c r="X59" s="67"/>
      <c r="Y59" s="67"/>
      <c r="Z59" s="67"/>
    </row>
    <row r="60" spans="1:26" s="82" customFormat="1" ht="15.5">
      <c r="A60" s="532"/>
      <c r="B60" s="524" t="s">
        <v>531</v>
      </c>
      <c r="C60" s="524">
        <v>10564.768295056399</v>
      </c>
      <c r="D60" s="524">
        <v>17434.372462848209</v>
      </c>
      <c r="E60" s="524">
        <v>36810.681119204557</v>
      </c>
      <c r="F60" s="524">
        <v>96493.805965943029</v>
      </c>
      <c r="G60" s="524">
        <v>2386.8000000000002</v>
      </c>
      <c r="H60" s="524">
        <v>0</v>
      </c>
      <c r="I60" s="524">
        <v>1449</v>
      </c>
      <c r="J60" s="523">
        <v>165139.4278430522</v>
      </c>
      <c r="K60" s="523">
        <v>0</v>
      </c>
      <c r="L60" s="523">
        <v>0</v>
      </c>
      <c r="M60" s="523">
        <v>0</v>
      </c>
      <c r="N60" s="524">
        <v>0</v>
      </c>
      <c r="O60" s="524">
        <v>0</v>
      </c>
      <c r="P60" s="524">
        <v>0</v>
      </c>
      <c r="Q60" s="523">
        <v>0</v>
      </c>
      <c r="R60" s="523">
        <v>0</v>
      </c>
      <c r="S60" s="524">
        <v>0</v>
      </c>
      <c r="T60" s="523">
        <v>0</v>
      </c>
      <c r="U60" s="523">
        <v>0</v>
      </c>
      <c r="V60" s="525">
        <v>0</v>
      </c>
      <c r="W60" s="67"/>
      <c r="X60" s="67"/>
      <c r="Y60" s="67"/>
      <c r="Z60" s="67"/>
    </row>
    <row r="61" spans="1:26" s="82" customFormat="1" ht="15.5">
      <c r="A61" s="532"/>
      <c r="B61" s="524" t="s">
        <v>532</v>
      </c>
      <c r="C61" s="524">
        <v>28396.244565217399</v>
      </c>
      <c r="D61" s="524">
        <v>25215.248722302371</v>
      </c>
      <c r="E61" s="524">
        <v>50510.734606126061</v>
      </c>
      <c r="F61" s="524">
        <v>129751.39166646279</v>
      </c>
      <c r="G61" s="524">
        <v>7039</v>
      </c>
      <c r="H61" s="524">
        <v>0</v>
      </c>
      <c r="I61" s="524">
        <v>1496.84647302905</v>
      </c>
      <c r="J61" s="523">
        <v>242409.46603313767</v>
      </c>
      <c r="K61" s="523">
        <v>0</v>
      </c>
      <c r="L61" s="523">
        <v>0</v>
      </c>
      <c r="M61" s="523">
        <v>0</v>
      </c>
      <c r="N61" s="524">
        <v>0</v>
      </c>
      <c r="O61" s="524">
        <v>0</v>
      </c>
      <c r="P61" s="524">
        <v>0</v>
      </c>
      <c r="Q61" s="523">
        <v>0</v>
      </c>
      <c r="R61" s="523">
        <v>0</v>
      </c>
      <c r="S61" s="524">
        <v>0</v>
      </c>
      <c r="T61" s="523">
        <v>0</v>
      </c>
      <c r="U61" s="523">
        <v>0</v>
      </c>
      <c r="V61" s="525">
        <v>0</v>
      </c>
      <c r="W61" s="67"/>
      <c r="X61" s="67"/>
      <c r="Y61" s="67"/>
      <c r="Z61" s="67"/>
    </row>
    <row r="62" spans="1:26" s="82" customFormat="1" ht="15.5">
      <c r="A62" s="521" t="s">
        <v>243</v>
      </c>
      <c r="B62" s="524" t="s">
        <v>525</v>
      </c>
      <c r="C62" s="521">
        <v>871990</v>
      </c>
      <c r="D62" s="521">
        <v>498799.5</v>
      </c>
      <c r="E62" s="521">
        <v>598556.5</v>
      </c>
      <c r="F62" s="521">
        <v>559879</v>
      </c>
      <c r="G62" s="521">
        <v>60266</v>
      </c>
      <c r="H62" s="521">
        <v>46862</v>
      </c>
      <c r="I62" s="521">
        <v>835132.5</v>
      </c>
      <c r="J62" s="520">
        <v>3471485.5</v>
      </c>
      <c r="K62" s="520"/>
      <c r="L62" s="520"/>
      <c r="M62" s="520"/>
      <c r="N62" s="521">
        <v>1776033.41</v>
      </c>
      <c r="O62" s="521">
        <v>546973.5</v>
      </c>
      <c r="P62" s="521">
        <v>187410.5</v>
      </c>
      <c r="Q62" s="520">
        <v>2510417.41</v>
      </c>
      <c r="R62" s="520"/>
      <c r="S62" s="521"/>
      <c r="T62" s="520"/>
      <c r="U62" s="520"/>
      <c r="V62" s="522"/>
      <c r="W62" s="67"/>
      <c r="X62" s="67"/>
      <c r="Y62" s="67"/>
      <c r="Z62" s="67"/>
    </row>
    <row r="63" spans="1:26" s="82" customFormat="1" ht="15.5">
      <c r="A63" s="532"/>
      <c r="B63" s="524" t="s">
        <v>526</v>
      </c>
      <c r="C63" s="524">
        <v>883046</v>
      </c>
      <c r="D63" s="524">
        <v>496313.5</v>
      </c>
      <c r="E63" s="524">
        <v>580495</v>
      </c>
      <c r="F63" s="524">
        <v>538877</v>
      </c>
      <c r="G63" s="524">
        <v>56181</v>
      </c>
      <c r="H63" s="524">
        <v>46411.5</v>
      </c>
      <c r="I63" s="524">
        <v>891054</v>
      </c>
      <c r="J63" s="523">
        <v>3492378</v>
      </c>
      <c r="K63" s="523"/>
      <c r="L63" s="523"/>
      <c r="M63" s="523"/>
      <c r="N63" s="524">
        <v>1757259.5</v>
      </c>
      <c r="O63" s="524">
        <v>544901.5</v>
      </c>
      <c r="P63" s="524">
        <v>178819.25</v>
      </c>
      <c r="Q63" s="523">
        <v>2480980.25</v>
      </c>
      <c r="R63" s="523"/>
      <c r="S63" s="524"/>
      <c r="T63" s="523"/>
      <c r="U63" s="523"/>
      <c r="V63" s="525"/>
      <c r="W63" s="67"/>
      <c r="X63" s="67"/>
      <c r="Y63" s="67"/>
      <c r="Z63" s="67"/>
    </row>
    <row r="64" spans="1:26" s="82" customFormat="1" ht="15.5">
      <c r="A64" s="532"/>
      <c r="B64" s="524" t="s">
        <v>527</v>
      </c>
      <c r="C64" s="524">
        <v>48326</v>
      </c>
      <c r="D64" s="524">
        <v>66245</v>
      </c>
      <c r="E64" s="524">
        <v>81730</v>
      </c>
      <c r="F64" s="524">
        <v>102422</v>
      </c>
      <c r="G64" s="524">
        <v>12184</v>
      </c>
      <c r="H64" s="524">
        <v>232</v>
      </c>
      <c r="I64" s="524">
        <v>779478.5</v>
      </c>
      <c r="J64" s="523">
        <v>1090617.5</v>
      </c>
      <c r="K64" s="523">
        <v>0</v>
      </c>
      <c r="L64" s="523">
        <v>0</v>
      </c>
      <c r="M64" s="523">
        <v>0</v>
      </c>
      <c r="N64" s="524">
        <v>318610.7</v>
      </c>
      <c r="O64" s="524">
        <v>168329</v>
      </c>
      <c r="P64" s="524">
        <v>50671</v>
      </c>
      <c r="Q64" s="523">
        <v>537610.69999999995</v>
      </c>
      <c r="R64" s="523">
        <v>0</v>
      </c>
      <c r="S64" s="524">
        <v>0</v>
      </c>
      <c r="T64" s="523">
        <v>0</v>
      </c>
      <c r="U64" s="523">
        <v>0</v>
      </c>
      <c r="V64" s="525">
        <v>0</v>
      </c>
      <c r="W64" s="67"/>
      <c r="X64" s="67"/>
      <c r="Y64" s="67"/>
      <c r="Z64" s="67"/>
    </row>
    <row r="65" spans="1:26" s="82" customFormat="1" ht="15.5">
      <c r="A65" s="532"/>
      <c r="B65" s="524" t="s">
        <v>528</v>
      </c>
      <c r="C65" s="524">
        <v>439834</v>
      </c>
      <c r="D65" s="524">
        <v>225845.5</v>
      </c>
      <c r="E65" s="524">
        <v>263448</v>
      </c>
      <c r="F65" s="524">
        <v>263724.5</v>
      </c>
      <c r="G65" s="524">
        <v>14126</v>
      </c>
      <c r="H65" s="524">
        <v>10473</v>
      </c>
      <c r="I65" s="524">
        <v>843051</v>
      </c>
      <c r="J65" s="523">
        <v>2060502</v>
      </c>
      <c r="K65" s="523">
        <v>0</v>
      </c>
      <c r="L65" s="523">
        <v>0</v>
      </c>
      <c r="M65" s="523">
        <v>0</v>
      </c>
      <c r="N65" s="524">
        <v>1133536</v>
      </c>
      <c r="O65" s="524">
        <v>315118.5</v>
      </c>
      <c r="P65" s="524">
        <v>92804.5</v>
      </c>
      <c r="Q65" s="523">
        <v>1541459</v>
      </c>
      <c r="R65" s="523">
        <v>0</v>
      </c>
      <c r="S65" s="524">
        <v>0</v>
      </c>
      <c r="T65" s="523">
        <v>0</v>
      </c>
      <c r="U65" s="523">
        <v>0</v>
      </c>
      <c r="V65" s="525">
        <v>0</v>
      </c>
      <c r="W65" s="67"/>
      <c r="X65" s="67"/>
      <c r="Y65" s="67"/>
      <c r="Z65" s="67"/>
    </row>
    <row r="66" spans="1:26" s="82" customFormat="1" ht="15.5">
      <c r="A66" s="532"/>
      <c r="B66" s="524" t="s">
        <v>529</v>
      </c>
      <c r="C66" s="524">
        <v>154217</v>
      </c>
      <c r="D66" s="524">
        <v>59432</v>
      </c>
      <c r="E66" s="524">
        <v>85378.5</v>
      </c>
      <c r="F66" s="524">
        <v>58280.5</v>
      </c>
      <c r="G66" s="524">
        <v>4591</v>
      </c>
      <c r="H66" s="524">
        <v>1122</v>
      </c>
      <c r="I66" s="524">
        <v>244291</v>
      </c>
      <c r="J66" s="523">
        <v>607312</v>
      </c>
      <c r="K66" s="523"/>
      <c r="L66" s="523"/>
      <c r="M66" s="523"/>
      <c r="N66" s="524">
        <v>0</v>
      </c>
      <c r="O66" s="524">
        <v>0</v>
      </c>
      <c r="P66" s="524">
        <v>0</v>
      </c>
      <c r="Q66" s="523">
        <v>0</v>
      </c>
      <c r="R66" s="523"/>
      <c r="S66" s="524"/>
      <c r="T66" s="523"/>
      <c r="U66" s="523"/>
      <c r="V66" s="525"/>
      <c r="W66" s="67"/>
      <c r="X66" s="67"/>
      <c r="Y66" s="67"/>
      <c r="Z66" s="67"/>
    </row>
    <row r="67" spans="1:26" s="82" customFormat="1" ht="15.5">
      <c r="A67" s="532"/>
      <c r="B67" s="524" t="s">
        <v>530</v>
      </c>
      <c r="C67" s="524">
        <v>150008</v>
      </c>
      <c r="D67" s="524">
        <v>62178</v>
      </c>
      <c r="E67" s="524">
        <v>84361.5</v>
      </c>
      <c r="F67" s="524">
        <v>60736.5</v>
      </c>
      <c r="G67" s="524">
        <v>3776</v>
      </c>
      <c r="H67" s="524">
        <v>889</v>
      </c>
      <c r="I67" s="524">
        <v>267339</v>
      </c>
      <c r="J67" s="523">
        <v>629288</v>
      </c>
      <c r="K67" s="523"/>
      <c r="L67" s="523"/>
      <c r="M67" s="523"/>
      <c r="N67" s="524">
        <v>0</v>
      </c>
      <c r="O67" s="524">
        <v>0</v>
      </c>
      <c r="P67" s="524">
        <v>0</v>
      </c>
      <c r="Q67" s="523">
        <v>0</v>
      </c>
      <c r="R67" s="523"/>
      <c r="S67" s="524"/>
      <c r="T67" s="523"/>
      <c r="U67" s="523"/>
      <c r="V67" s="525"/>
      <c r="W67" s="67"/>
      <c r="X67" s="67"/>
      <c r="Y67" s="67"/>
      <c r="Z67" s="67"/>
    </row>
    <row r="68" spans="1:26" s="82" customFormat="1" ht="15.5">
      <c r="A68" s="532"/>
      <c r="B68" s="524" t="s">
        <v>531</v>
      </c>
      <c r="C68" s="524">
        <v>20019</v>
      </c>
      <c r="D68" s="524">
        <v>13416</v>
      </c>
      <c r="E68" s="524">
        <v>21001.5</v>
      </c>
      <c r="F68" s="524">
        <v>23567</v>
      </c>
      <c r="G68" s="524">
        <v>624</v>
      </c>
      <c r="H68" s="524">
        <v>0</v>
      </c>
      <c r="I68" s="524">
        <v>208119</v>
      </c>
      <c r="J68" s="523">
        <v>286746.5</v>
      </c>
      <c r="K68" s="523">
        <v>0</v>
      </c>
      <c r="L68" s="523">
        <v>0</v>
      </c>
      <c r="M68" s="523">
        <v>0</v>
      </c>
      <c r="N68" s="524">
        <v>0</v>
      </c>
      <c r="O68" s="524">
        <v>0</v>
      </c>
      <c r="P68" s="524">
        <v>0</v>
      </c>
      <c r="Q68" s="523">
        <v>0</v>
      </c>
      <c r="R68" s="523">
        <v>0</v>
      </c>
      <c r="S68" s="524">
        <v>0</v>
      </c>
      <c r="T68" s="523">
        <v>0</v>
      </c>
      <c r="U68" s="523">
        <v>0</v>
      </c>
      <c r="V68" s="525">
        <v>0</v>
      </c>
      <c r="W68" s="67"/>
      <c r="X68" s="67"/>
      <c r="Y68" s="67"/>
      <c r="Z68" s="67"/>
    </row>
    <row r="69" spans="1:26" s="82" customFormat="1" ht="15.5">
      <c r="A69" s="534"/>
      <c r="B69" s="524" t="s">
        <v>532</v>
      </c>
      <c r="C69" s="524">
        <v>61470</v>
      </c>
      <c r="D69" s="524">
        <v>30080</v>
      </c>
      <c r="E69" s="524">
        <v>33937.5</v>
      </c>
      <c r="F69" s="524">
        <v>36219.5</v>
      </c>
      <c r="G69" s="524">
        <v>730</v>
      </c>
      <c r="H69" s="524">
        <v>597</v>
      </c>
      <c r="I69" s="524">
        <v>208196</v>
      </c>
      <c r="J69" s="523">
        <v>371230</v>
      </c>
      <c r="K69" s="523">
        <v>0</v>
      </c>
      <c r="L69" s="523">
        <v>0</v>
      </c>
      <c r="M69" s="523">
        <v>0</v>
      </c>
      <c r="N69" s="524">
        <v>0</v>
      </c>
      <c r="O69" s="524">
        <v>0</v>
      </c>
      <c r="P69" s="524">
        <v>0</v>
      </c>
      <c r="Q69" s="523">
        <v>0</v>
      </c>
      <c r="R69" s="523">
        <v>0</v>
      </c>
      <c r="S69" s="524">
        <v>0</v>
      </c>
      <c r="T69" s="523">
        <v>0</v>
      </c>
      <c r="U69" s="523">
        <v>0</v>
      </c>
      <c r="V69" s="525">
        <v>0</v>
      </c>
      <c r="W69" s="67"/>
      <c r="X69" s="67"/>
      <c r="Y69" s="67"/>
      <c r="Z69" s="67"/>
    </row>
    <row r="70" spans="1:26" s="82" customFormat="1" ht="15.5">
      <c r="A70" s="521" t="s">
        <v>271</v>
      </c>
      <c r="B70" s="524" t="s">
        <v>525</v>
      </c>
      <c r="C70" s="521">
        <v>1402900</v>
      </c>
      <c r="D70" s="521">
        <v>142216</v>
      </c>
      <c r="E70" s="521"/>
      <c r="F70" s="521">
        <v>284857.7</v>
      </c>
      <c r="G70" s="521"/>
      <c r="H70" s="521"/>
      <c r="I70" s="521"/>
      <c r="J70" s="520">
        <v>1829973.7</v>
      </c>
      <c r="K70" s="520"/>
      <c r="L70" s="520"/>
      <c r="M70" s="520"/>
      <c r="N70" s="521"/>
      <c r="O70" s="521"/>
      <c r="P70" s="521"/>
      <c r="Q70" s="520"/>
      <c r="R70" s="520"/>
      <c r="S70" s="521"/>
      <c r="T70" s="520"/>
      <c r="U70" s="520">
        <v>0</v>
      </c>
      <c r="V70" s="522">
        <v>0</v>
      </c>
      <c r="W70" s="67"/>
      <c r="X70" s="67"/>
      <c r="Y70" s="67"/>
      <c r="Z70" s="67"/>
    </row>
    <row r="71" spans="1:26" s="82" customFormat="1" ht="15.5">
      <c r="A71" s="532"/>
      <c r="B71" s="524" t="s">
        <v>526</v>
      </c>
      <c r="C71" s="524">
        <v>1381582</v>
      </c>
      <c r="D71" s="524">
        <v>132288.5</v>
      </c>
      <c r="E71" s="524"/>
      <c r="F71" s="524">
        <v>263076</v>
      </c>
      <c r="G71" s="524"/>
      <c r="H71" s="524"/>
      <c r="I71" s="524"/>
      <c r="J71" s="523">
        <v>1776946.5</v>
      </c>
      <c r="K71" s="523"/>
      <c r="L71" s="523"/>
      <c r="M71" s="523"/>
      <c r="N71" s="524"/>
      <c r="O71" s="524"/>
      <c r="P71" s="524"/>
      <c r="Q71" s="523"/>
      <c r="R71" s="523"/>
      <c r="S71" s="524"/>
      <c r="T71" s="523"/>
      <c r="U71" s="523">
        <v>0</v>
      </c>
      <c r="V71" s="525">
        <v>0</v>
      </c>
      <c r="W71" s="67"/>
      <c r="X71" s="67"/>
      <c r="Y71" s="67"/>
      <c r="Z71" s="67"/>
    </row>
    <row r="72" spans="1:26" s="82" customFormat="1" ht="15.5">
      <c r="A72" s="532"/>
      <c r="B72" s="524" t="s">
        <v>527</v>
      </c>
      <c r="C72" s="524">
        <v>237800</v>
      </c>
      <c r="D72" s="524">
        <v>46156</v>
      </c>
      <c r="E72" s="524">
        <v>0</v>
      </c>
      <c r="F72" s="524">
        <v>102058</v>
      </c>
      <c r="G72" s="524">
        <v>0</v>
      </c>
      <c r="H72" s="524">
        <v>0</v>
      </c>
      <c r="I72" s="524">
        <v>0</v>
      </c>
      <c r="J72" s="523">
        <v>386014</v>
      </c>
      <c r="K72" s="523">
        <v>0</v>
      </c>
      <c r="L72" s="523">
        <v>0</v>
      </c>
      <c r="M72" s="523">
        <v>0</v>
      </c>
      <c r="N72" s="524">
        <v>0</v>
      </c>
      <c r="O72" s="524">
        <v>0</v>
      </c>
      <c r="P72" s="524">
        <v>0</v>
      </c>
      <c r="Q72" s="523">
        <v>0</v>
      </c>
      <c r="R72" s="523">
        <v>0</v>
      </c>
      <c r="S72" s="524">
        <v>0</v>
      </c>
      <c r="T72" s="523">
        <v>0</v>
      </c>
      <c r="U72" s="523">
        <v>0</v>
      </c>
      <c r="V72" s="525">
        <v>0</v>
      </c>
      <c r="W72" s="67"/>
      <c r="X72" s="67"/>
      <c r="Y72" s="67"/>
      <c r="Z72" s="67"/>
    </row>
    <row r="73" spans="1:26" s="82" customFormat="1" ht="15.5">
      <c r="A73" s="532"/>
      <c r="B73" s="524" t="s">
        <v>528</v>
      </c>
      <c r="C73" s="524">
        <v>621572</v>
      </c>
      <c r="D73" s="524">
        <v>84155.5</v>
      </c>
      <c r="E73" s="524">
        <v>0</v>
      </c>
      <c r="F73" s="524">
        <v>117319</v>
      </c>
      <c r="G73" s="524">
        <v>0</v>
      </c>
      <c r="H73" s="524">
        <v>0</v>
      </c>
      <c r="I73" s="524">
        <v>0</v>
      </c>
      <c r="J73" s="523">
        <v>823046.5</v>
      </c>
      <c r="K73" s="523">
        <v>0</v>
      </c>
      <c r="L73" s="523">
        <v>0</v>
      </c>
      <c r="M73" s="523">
        <v>0</v>
      </c>
      <c r="N73" s="524">
        <v>0</v>
      </c>
      <c r="O73" s="524">
        <v>0</v>
      </c>
      <c r="P73" s="524">
        <v>0</v>
      </c>
      <c r="Q73" s="523">
        <v>0</v>
      </c>
      <c r="R73" s="523">
        <v>0</v>
      </c>
      <c r="S73" s="524">
        <v>0</v>
      </c>
      <c r="T73" s="523">
        <v>0</v>
      </c>
      <c r="U73" s="523">
        <v>0</v>
      </c>
      <c r="V73" s="525">
        <v>0</v>
      </c>
      <c r="W73" s="67"/>
      <c r="X73" s="67"/>
      <c r="Y73" s="67"/>
      <c r="Z73" s="67"/>
    </row>
    <row r="74" spans="1:26" s="82" customFormat="1" ht="15.5">
      <c r="A74" s="532"/>
      <c r="B74" s="524" t="s">
        <v>529</v>
      </c>
      <c r="C74" s="524">
        <v>172433</v>
      </c>
      <c r="D74" s="524">
        <v>29693</v>
      </c>
      <c r="E74" s="524"/>
      <c r="F74" s="524">
        <v>32955</v>
      </c>
      <c r="G74" s="524"/>
      <c r="H74" s="524"/>
      <c r="I74" s="524"/>
      <c r="J74" s="523">
        <v>235081</v>
      </c>
      <c r="K74" s="523"/>
      <c r="L74" s="523"/>
      <c r="M74" s="523"/>
      <c r="N74" s="524"/>
      <c r="O74" s="524"/>
      <c r="P74" s="524"/>
      <c r="Q74" s="523"/>
      <c r="R74" s="523"/>
      <c r="S74" s="524"/>
      <c r="T74" s="523"/>
      <c r="U74" s="523">
        <v>0</v>
      </c>
      <c r="V74" s="525">
        <v>0</v>
      </c>
      <c r="W74" s="67"/>
      <c r="X74" s="67"/>
      <c r="Y74" s="67"/>
      <c r="Z74" s="67"/>
    </row>
    <row r="75" spans="1:26" s="82" customFormat="1" ht="15.5">
      <c r="A75" s="532"/>
      <c r="B75" s="524" t="s">
        <v>530</v>
      </c>
      <c r="C75" s="524">
        <v>188336</v>
      </c>
      <c r="D75" s="524">
        <v>34452</v>
      </c>
      <c r="E75" s="524"/>
      <c r="F75" s="524">
        <v>35177</v>
      </c>
      <c r="G75" s="524"/>
      <c r="H75" s="524"/>
      <c r="I75" s="524"/>
      <c r="J75" s="523">
        <v>257965</v>
      </c>
      <c r="K75" s="523"/>
      <c r="L75" s="523"/>
      <c r="M75" s="523"/>
      <c r="N75" s="524"/>
      <c r="O75" s="524"/>
      <c r="P75" s="524"/>
      <c r="Q75" s="523"/>
      <c r="R75" s="523"/>
      <c r="S75" s="524"/>
      <c r="T75" s="523"/>
      <c r="U75" s="523">
        <v>0</v>
      </c>
      <c r="V75" s="525">
        <v>0</v>
      </c>
      <c r="W75" s="67"/>
      <c r="X75" s="67"/>
      <c r="Y75" s="67"/>
      <c r="Z75" s="67"/>
    </row>
    <row r="76" spans="1:26" s="82" customFormat="1" ht="15.5">
      <c r="A76" s="532"/>
      <c r="B76" s="524" t="s">
        <v>531</v>
      </c>
      <c r="C76" s="524">
        <v>41965</v>
      </c>
      <c r="D76" s="524">
        <v>16064</v>
      </c>
      <c r="E76" s="524">
        <v>0</v>
      </c>
      <c r="F76" s="524">
        <v>24830</v>
      </c>
      <c r="G76" s="524">
        <v>0</v>
      </c>
      <c r="H76" s="524">
        <v>0</v>
      </c>
      <c r="I76" s="524">
        <v>0</v>
      </c>
      <c r="J76" s="523">
        <v>82859</v>
      </c>
      <c r="K76" s="523">
        <v>0</v>
      </c>
      <c r="L76" s="523">
        <v>0</v>
      </c>
      <c r="M76" s="523">
        <v>0</v>
      </c>
      <c r="N76" s="524">
        <v>0</v>
      </c>
      <c r="O76" s="524">
        <v>0</v>
      </c>
      <c r="P76" s="524">
        <v>0</v>
      </c>
      <c r="Q76" s="523">
        <v>0</v>
      </c>
      <c r="R76" s="523">
        <v>0</v>
      </c>
      <c r="S76" s="524">
        <v>0</v>
      </c>
      <c r="T76" s="523">
        <v>0</v>
      </c>
      <c r="U76" s="523">
        <v>0</v>
      </c>
      <c r="V76" s="525">
        <v>0</v>
      </c>
      <c r="W76" s="67"/>
      <c r="X76" s="67"/>
      <c r="Y76" s="67"/>
      <c r="Z76" s="67"/>
    </row>
    <row r="77" spans="1:26" s="82" customFormat="1" ht="15.5">
      <c r="A77" s="534"/>
      <c r="B77" s="524" t="s">
        <v>532</v>
      </c>
      <c r="C77" s="524">
        <v>85203</v>
      </c>
      <c r="D77" s="524">
        <v>24062</v>
      </c>
      <c r="E77" s="524">
        <v>0</v>
      </c>
      <c r="F77" s="524">
        <v>28640</v>
      </c>
      <c r="G77" s="524">
        <v>0</v>
      </c>
      <c r="H77" s="524">
        <v>0</v>
      </c>
      <c r="I77" s="524">
        <v>0</v>
      </c>
      <c r="J77" s="523">
        <v>137905</v>
      </c>
      <c r="K77" s="523">
        <v>0</v>
      </c>
      <c r="L77" s="523">
        <v>0</v>
      </c>
      <c r="M77" s="523">
        <v>0</v>
      </c>
      <c r="N77" s="524">
        <v>0</v>
      </c>
      <c r="O77" s="524">
        <v>0</v>
      </c>
      <c r="P77" s="524">
        <v>0</v>
      </c>
      <c r="Q77" s="523">
        <v>0</v>
      </c>
      <c r="R77" s="523">
        <v>0</v>
      </c>
      <c r="S77" s="524">
        <v>0</v>
      </c>
      <c r="T77" s="523">
        <v>0</v>
      </c>
      <c r="U77" s="523">
        <v>0</v>
      </c>
      <c r="V77" s="525">
        <v>0</v>
      </c>
      <c r="W77" s="67"/>
      <c r="X77" s="67"/>
      <c r="Y77" s="67"/>
      <c r="Z77" s="67"/>
    </row>
    <row r="78" spans="1:26" s="82" customFormat="1" ht="15.5">
      <c r="A78" s="521" t="s">
        <v>280</v>
      </c>
      <c r="B78" s="524" t="s">
        <v>525</v>
      </c>
      <c r="C78" s="521">
        <v>2418197</v>
      </c>
      <c r="D78" s="521">
        <v>641242</v>
      </c>
      <c r="E78" s="521">
        <v>1715562.5</v>
      </c>
      <c r="F78" s="521">
        <v>150115</v>
      </c>
      <c r="G78" s="521">
        <v>302850</v>
      </c>
      <c r="H78" s="521">
        <v>145335</v>
      </c>
      <c r="I78" s="521">
        <v>27437</v>
      </c>
      <c r="J78" s="520">
        <v>5400738.5</v>
      </c>
      <c r="K78" s="520"/>
      <c r="L78" s="520"/>
      <c r="M78" s="520"/>
      <c r="N78" s="521">
        <v>2101449.5</v>
      </c>
      <c r="O78" s="521">
        <v>1632549</v>
      </c>
      <c r="P78" s="521">
        <v>789023.5</v>
      </c>
      <c r="Q78" s="520">
        <v>4523022</v>
      </c>
      <c r="R78" s="520"/>
      <c r="S78" s="521"/>
      <c r="T78" s="520"/>
      <c r="U78" s="520"/>
      <c r="V78" s="522"/>
      <c r="W78" s="67"/>
      <c r="X78" s="67"/>
      <c r="Y78" s="67"/>
      <c r="Z78" s="67"/>
    </row>
    <row r="79" spans="1:26" s="82" customFormat="1" ht="15.5">
      <c r="A79" s="532"/>
      <c r="B79" s="524" t="s">
        <v>526</v>
      </c>
      <c r="C79" s="524">
        <v>2454605</v>
      </c>
      <c r="D79" s="524">
        <v>633192</v>
      </c>
      <c r="E79" s="524">
        <v>1733548</v>
      </c>
      <c r="F79" s="524">
        <v>150073</v>
      </c>
      <c r="G79" s="524">
        <v>307836</v>
      </c>
      <c r="H79" s="524">
        <v>146810</v>
      </c>
      <c r="I79" s="524">
        <v>26718</v>
      </c>
      <c r="J79" s="523">
        <v>5452782</v>
      </c>
      <c r="K79" s="523"/>
      <c r="L79" s="523"/>
      <c r="M79" s="523"/>
      <c r="N79" s="524">
        <v>2090621.5</v>
      </c>
      <c r="O79" s="524">
        <v>1639000.8</v>
      </c>
      <c r="P79" s="524">
        <v>782854.5</v>
      </c>
      <c r="Q79" s="523">
        <v>4512476.8</v>
      </c>
      <c r="R79" s="523"/>
      <c r="S79" s="524"/>
      <c r="T79" s="523"/>
      <c r="U79" s="523"/>
      <c r="V79" s="525"/>
      <c r="W79" s="67"/>
      <c r="X79" s="67"/>
      <c r="Y79" s="67"/>
      <c r="Z79" s="67"/>
    </row>
    <row r="80" spans="1:26" s="82" customFormat="1" ht="15.5">
      <c r="A80" s="532"/>
      <c r="B80" s="524" t="s">
        <v>527</v>
      </c>
      <c r="C80" s="524">
        <v>362299</v>
      </c>
      <c r="D80" s="524">
        <v>148939</v>
      </c>
      <c r="E80" s="524">
        <v>308411</v>
      </c>
      <c r="F80" s="524">
        <v>67489</v>
      </c>
      <c r="G80" s="524">
        <v>88540</v>
      </c>
      <c r="H80" s="524">
        <v>12820</v>
      </c>
      <c r="I80" s="524">
        <v>708</v>
      </c>
      <c r="J80" s="523">
        <v>989206</v>
      </c>
      <c r="K80" s="523">
        <v>0</v>
      </c>
      <c r="L80" s="523">
        <v>0</v>
      </c>
      <c r="M80" s="523">
        <v>0</v>
      </c>
      <c r="N80" s="524">
        <v>921919</v>
      </c>
      <c r="O80" s="524">
        <v>756416.5</v>
      </c>
      <c r="P80" s="524">
        <v>397983</v>
      </c>
      <c r="Q80" s="523">
        <v>2076318.5</v>
      </c>
      <c r="R80" s="523">
        <v>0</v>
      </c>
      <c r="S80" s="524">
        <v>0</v>
      </c>
      <c r="T80" s="523">
        <v>0</v>
      </c>
      <c r="U80" s="523">
        <v>0</v>
      </c>
      <c r="V80" s="525">
        <v>0</v>
      </c>
      <c r="W80" s="67"/>
      <c r="X80" s="67"/>
      <c r="Y80" s="67"/>
      <c r="Z80" s="67"/>
    </row>
    <row r="81" spans="1:26" s="82" customFormat="1" ht="15.5">
      <c r="A81" s="532"/>
      <c r="B81" s="524" t="s">
        <v>528</v>
      </c>
      <c r="C81" s="524">
        <v>1266900</v>
      </c>
      <c r="D81" s="524">
        <v>323737</v>
      </c>
      <c r="E81" s="524">
        <v>902435</v>
      </c>
      <c r="F81" s="524">
        <v>94318</v>
      </c>
      <c r="G81" s="524">
        <v>161660</v>
      </c>
      <c r="H81" s="524">
        <v>51934</v>
      </c>
      <c r="I81" s="524">
        <v>5117</v>
      </c>
      <c r="J81" s="523">
        <v>2806101</v>
      </c>
      <c r="K81" s="523">
        <v>0</v>
      </c>
      <c r="L81" s="523">
        <v>0</v>
      </c>
      <c r="M81" s="523">
        <v>0</v>
      </c>
      <c r="N81" s="524">
        <v>1352100</v>
      </c>
      <c r="O81" s="524">
        <v>1039726</v>
      </c>
      <c r="P81" s="524">
        <v>502735</v>
      </c>
      <c r="Q81" s="523">
        <v>2894561</v>
      </c>
      <c r="R81" s="523">
        <v>0</v>
      </c>
      <c r="S81" s="524">
        <v>0</v>
      </c>
      <c r="T81" s="523">
        <v>0</v>
      </c>
      <c r="U81" s="523">
        <v>0</v>
      </c>
      <c r="V81" s="525">
        <v>0</v>
      </c>
      <c r="W81" s="67"/>
      <c r="X81" s="67"/>
      <c r="Y81" s="67"/>
      <c r="Z81" s="67"/>
    </row>
    <row r="82" spans="1:26" s="82" customFormat="1" ht="15.5">
      <c r="A82" s="532"/>
      <c r="B82" s="524" t="s">
        <v>529</v>
      </c>
      <c r="C82" s="524">
        <v>520752.5</v>
      </c>
      <c r="D82" s="524">
        <v>87185</v>
      </c>
      <c r="E82" s="524">
        <v>173820</v>
      </c>
      <c r="F82" s="524">
        <v>14338</v>
      </c>
      <c r="G82" s="524">
        <v>33184</v>
      </c>
      <c r="H82" s="524">
        <v>1441</v>
      </c>
      <c r="I82" s="524">
        <v>3822</v>
      </c>
      <c r="J82" s="523">
        <v>834542.5</v>
      </c>
      <c r="K82" s="523"/>
      <c r="L82" s="523"/>
      <c r="M82" s="523"/>
      <c r="N82" s="524">
        <v>0</v>
      </c>
      <c r="O82" s="524">
        <v>0</v>
      </c>
      <c r="P82" s="524">
        <v>0</v>
      </c>
      <c r="Q82" s="523">
        <v>0</v>
      </c>
      <c r="R82" s="523"/>
      <c r="S82" s="524"/>
      <c r="T82" s="523"/>
      <c r="U82" s="523"/>
      <c r="V82" s="525"/>
      <c r="W82" s="67"/>
      <c r="X82" s="67"/>
      <c r="Y82" s="67"/>
      <c r="Z82" s="67"/>
    </row>
    <row r="83" spans="1:26" s="82" customFormat="1" ht="15.5">
      <c r="A83" s="532"/>
      <c r="B83" s="524" t="s">
        <v>530</v>
      </c>
      <c r="C83" s="524">
        <v>513065</v>
      </c>
      <c r="D83" s="524">
        <v>89463</v>
      </c>
      <c r="E83" s="524">
        <v>189296</v>
      </c>
      <c r="F83" s="524">
        <v>17585</v>
      </c>
      <c r="G83" s="524">
        <v>40640</v>
      </c>
      <c r="H83" s="524">
        <v>1659</v>
      </c>
      <c r="I83" s="524">
        <v>3672</v>
      </c>
      <c r="J83" s="523">
        <v>855380</v>
      </c>
      <c r="K83" s="523"/>
      <c r="L83" s="523"/>
      <c r="M83" s="523"/>
      <c r="N83" s="524">
        <v>0</v>
      </c>
      <c r="O83" s="524">
        <v>0</v>
      </c>
      <c r="P83" s="524">
        <v>0</v>
      </c>
      <c r="Q83" s="523">
        <v>0</v>
      </c>
      <c r="R83" s="523"/>
      <c r="S83" s="524"/>
      <c r="T83" s="523"/>
      <c r="U83" s="523"/>
      <c r="V83" s="525"/>
      <c r="W83" s="67"/>
      <c r="X83" s="67"/>
      <c r="Y83" s="67"/>
      <c r="Z83" s="67"/>
    </row>
    <row r="84" spans="1:26" s="82" customFormat="1" ht="15.5">
      <c r="A84" s="532"/>
      <c r="B84" s="524" t="s">
        <v>531</v>
      </c>
      <c r="C84" s="524">
        <v>104013.5</v>
      </c>
      <c r="D84" s="524">
        <v>54202</v>
      </c>
      <c r="E84" s="524">
        <v>72713</v>
      </c>
      <c r="F84" s="524">
        <v>9565</v>
      </c>
      <c r="G84" s="524">
        <v>20710</v>
      </c>
      <c r="H84" s="524">
        <v>829</v>
      </c>
      <c r="I84" s="524">
        <v>12</v>
      </c>
      <c r="J84" s="523">
        <v>262044.5</v>
      </c>
      <c r="K84" s="523">
        <v>0</v>
      </c>
      <c r="L84" s="523">
        <v>0</v>
      </c>
      <c r="M84" s="523">
        <v>0</v>
      </c>
      <c r="N84" s="524">
        <v>0</v>
      </c>
      <c r="O84" s="524">
        <v>0</v>
      </c>
      <c r="P84" s="524">
        <v>0</v>
      </c>
      <c r="Q84" s="523">
        <v>0</v>
      </c>
      <c r="R84" s="523">
        <v>0</v>
      </c>
      <c r="S84" s="524">
        <v>0</v>
      </c>
      <c r="T84" s="523">
        <v>0</v>
      </c>
      <c r="U84" s="523">
        <v>0</v>
      </c>
      <c r="V84" s="525">
        <v>0</v>
      </c>
      <c r="W84" s="67"/>
      <c r="X84" s="67"/>
      <c r="Y84" s="67"/>
      <c r="Z84" s="67"/>
    </row>
    <row r="85" spans="1:26" s="82" customFormat="1" ht="15.5">
      <c r="A85" s="534"/>
      <c r="B85" s="524" t="s">
        <v>532</v>
      </c>
      <c r="C85" s="524">
        <v>238199</v>
      </c>
      <c r="D85" s="524">
        <v>64854</v>
      </c>
      <c r="E85" s="524">
        <v>118620</v>
      </c>
      <c r="F85" s="524">
        <v>13735</v>
      </c>
      <c r="G85" s="524">
        <v>33329</v>
      </c>
      <c r="H85" s="524">
        <v>1120</v>
      </c>
      <c r="I85" s="524">
        <v>450</v>
      </c>
      <c r="J85" s="523">
        <v>470307</v>
      </c>
      <c r="K85" s="523">
        <v>0</v>
      </c>
      <c r="L85" s="523">
        <v>0</v>
      </c>
      <c r="M85" s="523">
        <v>0</v>
      </c>
      <c r="N85" s="524">
        <v>0</v>
      </c>
      <c r="O85" s="524">
        <v>0</v>
      </c>
      <c r="P85" s="524">
        <v>0</v>
      </c>
      <c r="Q85" s="523">
        <v>0</v>
      </c>
      <c r="R85" s="523">
        <v>0</v>
      </c>
      <c r="S85" s="524">
        <v>0</v>
      </c>
      <c r="T85" s="523">
        <v>0</v>
      </c>
      <c r="U85" s="523">
        <v>0</v>
      </c>
      <c r="V85" s="525">
        <v>0</v>
      </c>
      <c r="W85" s="67"/>
      <c r="X85" s="67"/>
      <c r="Y85" s="67"/>
      <c r="Z85" s="67"/>
    </row>
    <row r="86" spans="1:26" s="82" customFormat="1" ht="15.5">
      <c r="A86" s="521" t="s">
        <v>352</v>
      </c>
      <c r="B86" s="524" t="s">
        <v>525</v>
      </c>
      <c r="C86" s="521"/>
      <c r="D86" s="521"/>
      <c r="E86" s="521"/>
      <c r="F86" s="521"/>
      <c r="G86" s="521"/>
      <c r="H86" s="521"/>
      <c r="I86" s="521"/>
      <c r="J86" s="520"/>
      <c r="K86" s="520"/>
      <c r="L86" s="520"/>
      <c r="M86" s="520"/>
      <c r="N86" s="521"/>
      <c r="O86" s="521"/>
      <c r="P86" s="521"/>
      <c r="Q86" s="520"/>
      <c r="R86" s="520"/>
      <c r="S86" s="521"/>
      <c r="T86" s="520"/>
      <c r="U86" s="520">
        <v>0</v>
      </c>
      <c r="V86" s="522">
        <v>0</v>
      </c>
      <c r="W86" s="67"/>
      <c r="X86" s="67"/>
      <c r="Y86" s="67"/>
      <c r="Z86" s="67"/>
    </row>
    <row r="87" spans="1:26" s="82" customFormat="1" ht="15.5">
      <c r="A87" s="532"/>
      <c r="B87" s="524" t="s">
        <v>526</v>
      </c>
      <c r="C87" s="524"/>
      <c r="D87" s="524"/>
      <c r="E87" s="524"/>
      <c r="F87" s="524"/>
      <c r="G87" s="524"/>
      <c r="H87" s="524"/>
      <c r="I87" s="524"/>
      <c r="J87" s="523"/>
      <c r="K87" s="523"/>
      <c r="L87" s="523"/>
      <c r="M87" s="523"/>
      <c r="N87" s="524"/>
      <c r="O87" s="524"/>
      <c r="P87" s="524"/>
      <c r="Q87" s="523"/>
      <c r="R87" s="523"/>
      <c r="S87" s="524"/>
      <c r="T87" s="523"/>
      <c r="U87" s="523">
        <v>0</v>
      </c>
      <c r="V87" s="525">
        <v>0</v>
      </c>
      <c r="W87" s="67"/>
      <c r="X87" s="67"/>
      <c r="Y87" s="67"/>
      <c r="Z87" s="67"/>
    </row>
    <row r="88" spans="1:26" s="82" customFormat="1" ht="15.5">
      <c r="A88" s="532"/>
      <c r="B88" s="524" t="s">
        <v>527</v>
      </c>
      <c r="C88" s="524">
        <v>0</v>
      </c>
      <c r="D88" s="524">
        <v>0</v>
      </c>
      <c r="E88" s="524">
        <v>0</v>
      </c>
      <c r="F88" s="524">
        <v>0</v>
      </c>
      <c r="G88" s="524">
        <v>0</v>
      </c>
      <c r="H88" s="524">
        <v>0</v>
      </c>
      <c r="I88" s="524">
        <v>0</v>
      </c>
      <c r="J88" s="523">
        <v>0</v>
      </c>
      <c r="K88" s="523">
        <v>0</v>
      </c>
      <c r="L88" s="523">
        <v>0</v>
      </c>
      <c r="M88" s="523">
        <v>0</v>
      </c>
      <c r="N88" s="524">
        <v>0</v>
      </c>
      <c r="O88" s="524">
        <v>0</v>
      </c>
      <c r="P88" s="524">
        <v>0</v>
      </c>
      <c r="Q88" s="523">
        <v>0</v>
      </c>
      <c r="R88" s="523">
        <v>0</v>
      </c>
      <c r="S88" s="524">
        <v>0</v>
      </c>
      <c r="T88" s="523">
        <v>0</v>
      </c>
      <c r="U88" s="523">
        <v>0</v>
      </c>
      <c r="V88" s="525">
        <v>0</v>
      </c>
      <c r="W88" s="67"/>
      <c r="X88" s="67"/>
      <c r="Y88" s="67"/>
      <c r="Z88" s="67"/>
    </row>
    <row r="89" spans="1:26" s="82" customFormat="1" ht="15.5">
      <c r="A89" s="532"/>
      <c r="B89" s="524" t="s">
        <v>528</v>
      </c>
      <c r="C89" s="524">
        <v>0</v>
      </c>
      <c r="D89" s="524">
        <v>0</v>
      </c>
      <c r="E89" s="524">
        <v>0</v>
      </c>
      <c r="F89" s="524">
        <v>0</v>
      </c>
      <c r="G89" s="524">
        <v>0</v>
      </c>
      <c r="H89" s="524">
        <v>0</v>
      </c>
      <c r="I89" s="524">
        <v>0</v>
      </c>
      <c r="J89" s="523">
        <v>0</v>
      </c>
      <c r="K89" s="523">
        <v>0</v>
      </c>
      <c r="L89" s="523">
        <v>0</v>
      </c>
      <c r="M89" s="523">
        <v>0</v>
      </c>
      <c r="N89" s="524">
        <v>0</v>
      </c>
      <c r="O89" s="524">
        <v>0</v>
      </c>
      <c r="P89" s="524">
        <v>0</v>
      </c>
      <c r="Q89" s="523">
        <v>0</v>
      </c>
      <c r="R89" s="523">
        <v>0</v>
      </c>
      <c r="S89" s="524">
        <v>0</v>
      </c>
      <c r="T89" s="523">
        <v>0</v>
      </c>
      <c r="U89" s="523">
        <v>0</v>
      </c>
      <c r="V89" s="525">
        <v>0</v>
      </c>
      <c r="W89" s="67"/>
      <c r="X89" s="67"/>
      <c r="Y89" s="67"/>
      <c r="Z89" s="67"/>
    </row>
    <row r="90" spans="1:26" s="82" customFormat="1" ht="15.5">
      <c r="A90" s="532"/>
      <c r="B90" s="524" t="s">
        <v>529</v>
      </c>
      <c r="C90" s="524"/>
      <c r="D90" s="524"/>
      <c r="E90" s="524"/>
      <c r="F90" s="524"/>
      <c r="G90" s="524"/>
      <c r="H90" s="524"/>
      <c r="I90" s="524"/>
      <c r="J90" s="523"/>
      <c r="K90" s="523"/>
      <c r="L90" s="523"/>
      <c r="M90" s="523"/>
      <c r="N90" s="524"/>
      <c r="O90" s="524"/>
      <c r="P90" s="524"/>
      <c r="Q90" s="523"/>
      <c r="R90" s="523"/>
      <c r="S90" s="524"/>
      <c r="T90" s="523"/>
      <c r="U90" s="523">
        <v>0</v>
      </c>
      <c r="V90" s="525">
        <v>0</v>
      </c>
      <c r="W90" s="67"/>
      <c r="X90" s="67"/>
      <c r="Y90" s="67"/>
      <c r="Z90" s="67"/>
    </row>
    <row r="91" spans="1:26" s="82" customFormat="1" ht="15.5">
      <c r="A91" s="532"/>
      <c r="B91" s="524" t="s">
        <v>530</v>
      </c>
      <c r="C91" s="524"/>
      <c r="D91" s="524"/>
      <c r="E91" s="524"/>
      <c r="F91" s="524"/>
      <c r="G91" s="524"/>
      <c r="H91" s="524"/>
      <c r="I91" s="524"/>
      <c r="J91" s="523"/>
      <c r="K91" s="523"/>
      <c r="L91" s="523"/>
      <c r="M91" s="523"/>
      <c r="N91" s="524"/>
      <c r="O91" s="524"/>
      <c r="P91" s="524"/>
      <c r="Q91" s="523"/>
      <c r="R91" s="523"/>
      <c r="S91" s="524"/>
      <c r="T91" s="523"/>
      <c r="U91" s="523">
        <v>0</v>
      </c>
      <c r="V91" s="525">
        <v>0</v>
      </c>
      <c r="W91" s="67"/>
      <c r="X91" s="67"/>
      <c r="Y91" s="67"/>
      <c r="Z91" s="67"/>
    </row>
    <row r="92" spans="1:26" s="82" customFormat="1" ht="15.5">
      <c r="A92" s="532"/>
      <c r="B92" s="524" t="s">
        <v>531</v>
      </c>
      <c r="C92" s="524">
        <v>0</v>
      </c>
      <c r="D92" s="524">
        <v>0</v>
      </c>
      <c r="E92" s="524">
        <v>0</v>
      </c>
      <c r="F92" s="524">
        <v>0</v>
      </c>
      <c r="G92" s="524">
        <v>0</v>
      </c>
      <c r="H92" s="524">
        <v>0</v>
      </c>
      <c r="I92" s="524">
        <v>0</v>
      </c>
      <c r="J92" s="523">
        <v>0</v>
      </c>
      <c r="K92" s="523">
        <v>0</v>
      </c>
      <c r="L92" s="523">
        <v>0</v>
      </c>
      <c r="M92" s="523">
        <v>0</v>
      </c>
      <c r="N92" s="524">
        <v>0</v>
      </c>
      <c r="O92" s="524">
        <v>0</v>
      </c>
      <c r="P92" s="524">
        <v>0</v>
      </c>
      <c r="Q92" s="523">
        <v>0</v>
      </c>
      <c r="R92" s="523">
        <v>0</v>
      </c>
      <c r="S92" s="524">
        <v>0</v>
      </c>
      <c r="T92" s="523">
        <v>0</v>
      </c>
      <c r="U92" s="523">
        <v>0</v>
      </c>
      <c r="V92" s="525">
        <v>0</v>
      </c>
      <c r="W92" s="67"/>
      <c r="X92" s="67"/>
      <c r="Y92" s="67"/>
      <c r="Z92" s="67"/>
    </row>
    <row r="93" spans="1:26" s="82" customFormat="1" ht="15.5">
      <c r="A93" s="534"/>
      <c r="B93" s="524" t="s">
        <v>532</v>
      </c>
      <c r="C93" s="524">
        <v>0</v>
      </c>
      <c r="D93" s="524">
        <v>0</v>
      </c>
      <c r="E93" s="524">
        <v>0</v>
      </c>
      <c r="F93" s="524">
        <v>0</v>
      </c>
      <c r="G93" s="524">
        <v>0</v>
      </c>
      <c r="H93" s="524">
        <v>0</v>
      </c>
      <c r="I93" s="524">
        <v>0</v>
      </c>
      <c r="J93" s="523">
        <v>0</v>
      </c>
      <c r="K93" s="523">
        <v>0</v>
      </c>
      <c r="L93" s="523">
        <v>0</v>
      </c>
      <c r="M93" s="523">
        <v>0</v>
      </c>
      <c r="N93" s="524">
        <v>0</v>
      </c>
      <c r="O93" s="524">
        <v>0</v>
      </c>
      <c r="P93" s="524">
        <v>0</v>
      </c>
      <c r="Q93" s="523">
        <v>0</v>
      </c>
      <c r="R93" s="523">
        <v>0</v>
      </c>
      <c r="S93" s="524">
        <v>0</v>
      </c>
      <c r="T93" s="523">
        <v>0</v>
      </c>
      <c r="U93" s="523">
        <v>0</v>
      </c>
      <c r="V93" s="525">
        <v>0</v>
      </c>
      <c r="W93" s="67"/>
      <c r="X93" s="67"/>
      <c r="Y93" s="67"/>
      <c r="Z93" s="67"/>
    </row>
    <row r="94" spans="1:26" s="82" customFormat="1" ht="15.5">
      <c r="A94" s="521" t="s">
        <v>353</v>
      </c>
      <c r="B94" s="524" t="s">
        <v>525</v>
      </c>
      <c r="C94" s="521">
        <v>1436699</v>
      </c>
      <c r="D94" s="521"/>
      <c r="E94" s="521">
        <v>525835</v>
      </c>
      <c r="F94" s="521">
        <v>290884</v>
      </c>
      <c r="G94" s="521">
        <v>151901</v>
      </c>
      <c r="H94" s="521">
        <v>389769.5</v>
      </c>
      <c r="I94" s="521"/>
      <c r="J94" s="520">
        <v>2795088.5</v>
      </c>
      <c r="K94" s="520"/>
      <c r="L94" s="520"/>
      <c r="M94" s="520"/>
      <c r="N94" s="521">
        <v>837358</v>
      </c>
      <c r="O94" s="521">
        <v>597754</v>
      </c>
      <c r="P94" s="521">
        <v>293687</v>
      </c>
      <c r="Q94" s="520">
        <v>1728799</v>
      </c>
      <c r="R94" s="520"/>
      <c r="S94" s="521"/>
      <c r="T94" s="520"/>
      <c r="U94" s="520"/>
      <c r="V94" s="522"/>
      <c r="W94" s="67"/>
      <c r="X94" s="67"/>
      <c r="Y94" s="67"/>
      <c r="Z94" s="67"/>
    </row>
    <row r="95" spans="1:26" s="82" customFormat="1" ht="15.5">
      <c r="A95" s="532"/>
      <c r="B95" s="524" t="s">
        <v>526</v>
      </c>
      <c r="C95" s="524">
        <v>1481661</v>
      </c>
      <c r="D95" s="524"/>
      <c r="E95" s="524">
        <v>513324</v>
      </c>
      <c r="F95" s="524">
        <v>283480</v>
      </c>
      <c r="G95" s="524">
        <v>149584</v>
      </c>
      <c r="H95" s="524">
        <v>385143</v>
      </c>
      <c r="I95" s="524"/>
      <c r="J95" s="523">
        <v>2813192</v>
      </c>
      <c r="K95" s="523"/>
      <c r="L95" s="523"/>
      <c r="M95" s="523"/>
      <c r="N95" s="524">
        <v>816309</v>
      </c>
      <c r="O95" s="524">
        <v>573968</v>
      </c>
      <c r="P95" s="524">
        <v>288830</v>
      </c>
      <c r="Q95" s="523">
        <v>1679107</v>
      </c>
      <c r="R95" s="523"/>
      <c r="S95" s="524"/>
      <c r="T95" s="523"/>
      <c r="U95" s="523"/>
      <c r="V95" s="525"/>
      <c r="W95" s="67"/>
      <c r="X95" s="67"/>
      <c r="Y95" s="67"/>
      <c r="Z95" s="67"/>
    </row>
    <row r="96" spans="1:26" s="82" customFormat="1" ht="15.5">
      <c r="A96" s="532"/>
      <c r="B96" s="524" t="s">
        <v>527</v>
      </c>
      <c r="C96" s="524">
        <v>164075</v>
      </c>
      <c r="D96" s="524">
        <v>0</v>
      </c>
      <c r="E96" s="524">
        <v>51747.5</v>
      </c>
      <c r="F96" s="524">
        <v>54084</v>
      </c>
      <c r="G96" s="524">
        <v>17872</v>
      </c>
      <c r="H96" s="524">
        <v>84529</v>
      </c>
      <c r="I96" s="524">
        <v>0</v>
      </c>
      <c r="J96" s="523">
        <v>372307.5</v>
      </c>
      <c r="K96" s="523">
        <v>0</v>
      </c>
      <c r="L96" s="523">
        <v>0</v>
      </c>
      <c r="M96" s="523">
        <v>0</v>
      </c>
      <c r="N96" s="524">
        <v>314976</v>
      </c>
      <c r="O96" s="524">
        <v>220056</v>
      </c>
      <c r="P96" s="524">
        <v>88898</v>
      </c>
      <c r="Q96" s="523">
        <v>623930</v>
      </c>
      <c r="R96" s="523">
        <v>0</v>
      </c>
      <c r="S96" s="524">
        <v>0</v>
      </c>
      <c r="T96" s="523">
        <v>0</v>
      </c>
      <c r="U96" s="523">
        <v>0</v>
      </c>
      <c r="V96" s="525">
        <v>0</v>
      </c>
      <c r="W96" s="67"/>
      <c r="X96" s="67"/>
      <c r="Y96" s="67"/>
      <c r="Z96" s="67"/>
    </row>
    <row r="97" spans="1:26" s="82" customFormat="1" ht="15.5">
      <c r="A97" s="532"/>
      <c r="B97" s="524" t="s">
        <v>528</v>
      </c>
      <c r="C97" s="524">
        <v>632895</v>
      </c>
      <c r="D97" s="524">
        <v>0</v>
      </c>
      <c r="E97" s="524">
        <v>152501</v>
      </c>
      <c r="F97" s="524">
        <v>67335</v>
      </c>
      <c r="G97" s="524">
        <v>29480</v>
      </c>
      <c r="H97" s="524">
        <v>186856</v>
      </c>
      <c r="I97" s="524">
        <v>0</v>
      </c>
      <c r="J97" s="523">
        <v>1069067</v>
      </c>
      <c r="K97" s="523">
        <v>0</v>
      </c>
      <c r="L97" s="523">
        <v>0</v>
      </c>
      <c r="M97" s="523">
        <v>0</v>
      </c>
      <c r="N97" s="524">
        <v>507747</v>
      </c>
      <c r="O97" s="524">
        <v>361907</v>
      </c>
      <c r="P97" s="524">
        <v>170375</v>
      </c>
      <c r="Q97" s="523">
        <v>1040029</v>
      </c>
      <c r="R97" s="523">
        <v>0</v>
      </c>
      <c r="S97" s="524">
        <v>0</v>
      </c>
      <c r="T97" s="523">
        <v>0</v>
      </c>
      <c r="U97" s="523">
        <v>0</v>
      </c>
      <c r="V97" s="525">
        <v>0</v>
      </c>
      <c r="W97" s="67"/>
      <c r="X97" s="67"/>
      <c r="Y97" s="67"/>
      <c r="Z97" s="67"/>
    </row>
    <row r="98" spans="1:26" s="82" customFormat="1" ht="15.5">
      <c r="A98" s="532"/>
      <c r="B98" s="524" t="s">
        <v>529</v>
      </c>
      <c r="C98" s="524">
        <v>272284</v>
      </c>
      <c r="D98" s="524"/>
      <c r="E98" s="524">
        <v>42467</v>
      </c>
      <c r="F98" s="524">
        <v>12890</v>
      </c>
      <c r="G98" s="524">
        <v>15609</v>
      </c>
      <c r="H98" s="524">
        <v>13161</v>
      </c>
      <c r="I98" s="524"/>
      <c r="J98" s="523">
        <v>356411</v>
      </c>
      <c r="K98" s="523"/>
      <c r="L98" s="523"/>
      <c r="M98" s="523"/>
      <c r="N98" s="524">
        <v>0</v>
      </c>
      <c r="O98" s="524">
        <v>0</v>
      </c>
      <c r="P98" s="524">
        <v>3</v>
      </c>
      <c r="Q98" s="523">
        <v>3</v>
      </c>
      <c r="R98" s="523"/>
      <c r="S98" s="524"/>
      <c r="T98" s="523"/>
      <c r="U98" s="523"/>
      <c r="V98" s="525"/>
      <c r="W98" s="67"/>
      <c r="X98" s="67"/>
      <c r="Y98" s="67"/>
      <c r="Z98" s="67"/>
    </row>
    <row r="99" spans="1:26" s="82" customFormat="1" ht="15.5">
      <c r="A99" s="532"/>
      <c r="B99" s="524" t="s">
        <v>530</v>
      </c>
      <c r="C99" s="524">
        <v>267031</v>
      </c>
      <c r="D99" s="524"/>
      <c r="E99" s="524">
        <v>48009</v>
      </c>
      <c r="F99" s="524">
        <v>12670</v>
      </c>
      <c r="G99" s="524">
        <v>17316</v>
      </c>
      <c r="H99" s="524">
        <v>14059</v>
      </c>
      <c r="I99" s="524"/>
      <c r="J99" s="523">
        <v>359085</v>
      </c>
      <c r="K99" s="523"/>
      <c r="L99" s="523"/>
      <c r="M99" s="523"/>
      <c r="N99" s="524">
        <v>0</v>
      </c>
      <c r="O99" s="524">
        <v>0</v>
      </c>
      <c r="P99" s="524">
        <v>0</v>
      </c>
      <c r="Q99" s="523">
        <v>0</v>
      </c>
      <c r="R99" s="523"/>
      <c r="S99" s="524"/>
      <c r="T99" s="523"/>
      <c r="U99" s="523"/>
      <c r="V99" s="525"/>
      <c r="W99" s="67"/>
      <c r="X99" s="67"/>
      <c r="Y99" s="67"/>
      <c r="Z99" s="67"/>
    </row>
    <row r="100" spans="1:26" s="82" customFormat="1" ht="15.5">
      <c r="A100" s="532"/>
      <c r="B100" s="524" t="s">
        <v>531</v>
      </c>
      <c r="C100" s="524">
        <v>65672</v>
      </c>
      <c r="D100" s="524">
        <v>0</v>
      </c>
      <c r="E100" s="524">
        <v>17398</v>
      </c>
      <c r="F100" s="524">
        <v>6044</v>
      </c>
      <c r="G100" s="524">
        <v>5513</v>
      </c>
      <c r="H100" s="524">
        <v>7544</v>
      </c>
      <c r="I100" s="524">
        <v>0</v>
      </c>
      <c r="J100" s="523">
        <v>102171</v>
      </c>
      <c r="K100" s="523">
        <v>0</v>
      </c>
      <c r="L100" s="523">
        <v>0</v>
      </c>
      <c r="M100" s="523">
        <v>0</v>
      </c>
      <c r="N100" s="524">
        <v>0</v>
      </c>
      <c r="O100" s="524">
        <v>0</v>
      </c>
      <c r="P100" s="524">
        <v>3</v>
      </c>
      <c r="Q100" s="523">
        <v>3</v>
      </c>
      <c r="R100" s="523">
        <v>0</v>
      </c>
      <c r="S100" s="524">
        <v>0</v>
      </c>
      <c r="T100" s="523">
        <v>0</v>
      </c>
      <c r="U100" s="523">
        <v>0</v>
      </c>
      <c r="V100" s="525">
        <v>0</v>
      </c>
      <c r="W100" s="67"/>
      <c r="X100" s="67"/>
      <c r="Y100" s="67"/>
      <c r="Z100" s="67"/>
    </row>
    <row r="101" spans="1:26" s="82" customFormat="1" ht="15.5">
      <c r="A101" s="534"/>
      <c r="B101" s="524" t="s">
        <v>532</v>
      </c>
      <c r="C101" s="524">
        <v>118962</v>
      </c>
      <c r="D101" s="524">
        <v>0</v>
      </c>
      <c r="E101" s="524">
        <v>31261</v>
      </c>
      <c r="F101" s="524">
        <v>7893</v>
      </c>
      <c r="G101" s="524">
        <v>8790</v>
      </c>
      <c r="H101" s="524">
        <v>11268</v>
      </c>
      <c r="I101" s="524">
        <v>0</v>
      </c>
      <c r="J101" s="523">
        <v>178174</v>
      </c>
      <c r="K101" s="523">
        <v>0</v>
      </c>
      <c r="L101" s="523">
        <v>0</v>
      </c>
      <c r="M101" s="523">
        <v>0</v>
      </c>
      <c r="N101" s="524">
        <v>0</v>
      </c>
      <c r="O101" s="524">
        <v>0</v>
      </c>
      <c r="P101" s="524">
        <v>0</v>
      </c>
      <c r="Q101" s="523">
        <v>0</v>
      </c>
      <c r="R101" s="523">
        <v>0</v>
      </c>
      <c r="S101" s="524">
        <v>0</v>
      </c>
      <c r="T101" s="523">
        <v>0</v>
      </c>
      <c r="U101" s="523">
        <v>0</v>
      </c>
      <c r="V101" s="525">
        <v>0</v>
      </c>
      <c r="W101" s="67"/>
      <c r="X101" s="67"/>
      <c r="Y101" s="67"/>
      <c r="Z101" s="67"/>
    </row>
    <row r="102" spans="1:26" s="82" customFormat="1" ht="15.5">
      <c r="A102" s="521" t="s">
        <v>385</v>
      </c>
      <c r="B102" s="524" t="s">
        <v>525</v>
      </c>
      <c r="C102" s="521">
        <v>1049594</v>
      </c>
      <c r="D102" s="521">
        <v>954899</v>
      </c>
      <c r="E102" s="521">
        <v>773036</v>
      </c>
      <c r="F102" s="521">
        <v>161305</v>
      </c>
      <c r="G102" s="521"/>
      <c r="H102" s="521"/>
      <c r="I102" s="521"/>
      <c r="J102" s="520">
        <v>2938834</v>
      </c>
      <c r="K102" s="520"/>
      <c r="L102" s="520"/>
      <c r="M102" s="520"/>
      <c r="N102" s="521">
        <v>878008</v>
      </c>
      <c r="O102" s="521">
        <v>777970</v>
      </c>
      <c r="P102" s="521">
        <v>52670</v>
      </c>
      <c r="Q102" s="520">
        <v>1708648</v>
      </c>
      <c r="R102" s="520"/>
      <c r="S102" s="521">
        <v>0</v>
      </c>
      <c r="T102" s="520">
        <v>0</v>
      </c>
      <c r="U102" s="520"/>
      <c r="V102" s="522"/>
      <c r="W102" s="67"/>
      <c r="X102" s="67"/>
      <c r="Y102" s="67"/>
      <c r="Z102" s="67"/>
    </row>
    <row r="103" spans="1:26" s="82" customFormat="1" ht="15.5">
      <c r="A103" s="532"/>
      <c r="B103" s="524" t="s">
        <v>526</v>
      </c>
      <c r="C103" s="524">
        <v>1087106</v>
      </c>
      <c r="D103" s="524">
        <v>889125</v>
      </c>
      <c r="E103" s="524">
        <v>753290</v>
      </c>
      <c r="F103" s="524">
        <v>159845</v>
      </c>
      <c r="G103" s="524"/>
      <c r="H103" s="524"/>
      <c r="I103" s="524"/>
      <c r="J103" s="523">
        <v>2889366</v>
      </c>
      <c r="K103" s="523"/>
      <c r="L103" s="523"/>
      <c r="M103" s="523"/>
      <c r="N103" s="524">
        <v>769449</v>
      </c>
      <c r="O103" s="524">
        <v>659507</v>
      </c>
      <c r="P103" s="524">
        <v>51028</v>
      </c>
      <c r="Q103" s="523">
        <v>1479984</v>
      </c>
      <c r="R103" s="523"/>
      <c r="S103" s="524">
        <v>0</v>
      </c>
      <c r="T103" s="523">
        <v>0</v>
      </c>
      <c r="U103" s="523"/>
      <c r="V103" s="525"/>
      <c r="W103" s="67"/>
      <c r="X103" s="67"/>
      <c r="Y103" s="67"/>
      <c r="Z103" s="67"/>
    </row>
    <row r="104" spans="1:26" s="82" customFormat="1" ht="15.5">
      <c r="A104" s="532"/>
      <c r="B104" s="524" t="s">
        <v>527</v>
      </c>
      <c r="C104" s="524">
        <v>173481</v>
      </c>
      <c r="D104" s="524">
        <v>228028</v>
      </c>
      <c r="E104" s="524">
        <v>234712</v>
      </c>
      <c r="F104" s="524">
        <v>28366</v>
      </c>
      <c r="G104" s="524">
        <v>0</v>
      </c>
      <c r="H104" s="524">
        <v>0</v>
      </c>
      <c r="I104" s="524">
        <v>0</v>
      </c>
      <c r="J104" s="523">
        <v>664587</v>
      </c>
      <c r="K104" s="523">
        <v>0</v>
      </c>
      <c r="L104" s="523">
        <v>0</v>
      </c>
      <c r="M104" s="523">
        <v>0</v>
      </c>
      <c r="N104" s="524">
        <v>260482</v>
      </c>
      <c r="O104" s="524">
        <v>255037</v>
      </c>
      <c r="P104" s="524">
        <v>16790</v>
      </c>
      <c r="Q104" s="523">
        <v>532309</v>
      </c>
      <c r="R104" s="523">
        <v>0</v>
      </c>
      <c r="S104" s="524">
        <v>0</v>
      </c>
      <c r="T104" s="523">
        <v>0</v>
      </c>
      <c r="U104" s="523">
        <v>0</v>
      </c>
      <c r="V104" s="525">
        <v>0</v>
      </c>
      <c r="W104" s="67"/>
      <c r="X104" s="67"/>
      <c r="Y104" s="67"/>
      <c r="Z104" s="67"/>
    </row>
    <row r="105" spans="1:26" s="82" customFormat="1" ht="15.5">
      <c r="A105" s="532"/>
      <c r="B105" s="524" t="s">
        <v>528</v>
      </c>
      <c r="C105" s="524">
        <v>241858</v>
      </c>
      <c r="D105" s="524">
        <v>383652</v>
      </c>
      <c r="E105" s="524">
        <v>439368</v>
      </c>
      <c r="F105" s="524">
        <v>71076</v>
      </c>
      <c r="G105" s="524">
        <v>0</v>
      </c>
      <c r="H105" s="524">
        <v>0</v>
      </c>
      <c r="I105" s="524">
        <v>0</v>
      </c>
      <c r="J105" s="523">
        <v>1135954</v>
      </c>
      <c r="K105" s="523">
        <v>0</v>
      </c>
      <c r="L105" s="523">
        <v>0</v>
      </c>
      <c r="M105" s="523">
        <v>0</v>
      </c>
      <c r="N105" s="524">
        <v>500563</v>
      </c>
      <c r="O105" s="524">
        <v>370828</v>
      </c>
      <c r="P105" s="524">
        <v>20366</v>
      </c>
      <c r="Q105" s="523">
        <v>891757</v>
      </c>
      <c r="R105" s="523">
        <v>0</v>
      </c>
      <c r="S105" s="524">
        <v>0</v>
      </c>
      <c r="T105" s="523">
        <v>0</v>
      </c>
      <c r="U105" s="523">
        <v>0</v>
      </c>
      <c r="V105" s="525">
        <v>0</v>
      </c>
      <c r="W105" s="67"/>
      <c r="X105" s="67"/>
      <c r="Y105" s="67"/>
      <c r="Z105" s="67"/>
    </row>
    <row r="106" spans="1:26" s="82" customFormat="1" ht="15.5">
      <c r="A106" s="532"/>
      <c r="B106" s="524" t="s">
        <v>529</v>
      </c>
      <c r="C106" s="524">
        <v>155219</v>
      </c>
      <c r="D106" s="524">
        <v>103832</v>
      </c>
      <c r="E106" s="524">
        <v>62297</v>
      </c>
      <c r="F106" s="524">
        <v>6765</v>
      </c>
      <c r="G106" s="524"/>
      <c r="H106" s="524"/>
      <c r="I106" s="524"/>
      <c r="J106" s="523">
        <v>328113</v>
      </c>
      <c r="K106" s="523"/>
      <c r="L106" s="523"/>
      <c r="M106" s="523"/>
      <c r="N106" s="524">
        <v>0</v>
      </c>
      <c r="O106" s="524">
        <v>0</v>
      </c>
      <c r="P106" s="524">
        <v>0</v>
      </c>
      <c r="Q106" s="523">
        <v>0</v>
      </c>
      <c r="R106" s="523"/>
      <c r="S106" s="524">
        <v>0</v>
      </c>
      <c r="T106" s="523">
        <v>0</v>
      </c>
      <c r="U106" s="523"/>
      <c r="V106" s="525"/>
      <c r="W106" s="67"/>
      <c r="X106" s="67"/>
      <c r="Y106" s="67"/>
      <c r="Z106" s="67"/>
    </row>
    <row r="107" spans="1:26" s="82" customFormat="1" ht="15.5">
      <c r="A107" s="532"/>
      <c r="B107" s="524" t="s">
        <v>530</v>
      </c>
      <c r="C107" s="524">
        <v>167581</v>
      </c>
      <c r="D107" s="524">
        <v>101219</v>
      </c>
      <c r="E107" s="524">
        <v>66119</v>
      </c>
      <c r="F107" s="524">
        <v>11662</v>
      </c>
      <c r="G107" s="524"/>
      <c r="H107" s="524"/>
      <c r="I107" s="524"/>
      <c r="J107" s="523">
        <v>346581</v>
      </c>
      <c r="K107" s="523"/>
      <c r="L107" s="523"/>
      <c r="M107" s="523"/>
      <c r="N107" s="524">
        <v>0</v>
      </c>
      <c r="O107" s="524">
        <v>0</v>
      </c>
      <c r="P107" s="524">
        <v>0</v>
      </c>
      <c r="Q107" s="523">
        <v>0</v>
      </c>
      <c r="R107" s="523"/>
      <c r="S107" s="524">
        <v>0</v>
      </c>
      <c r="T107" s="523">
        <v>0</v>
      </c>
      <c r="U107" s="523"/>
      <c r="V107" s="525"/>
      <c r="W107" s="67"/>
      <c r="X107" s="67"/>
      <c r="Y107" s="67"/>
      <c r="Z107" s="67"/>
    </row>
    <row r="108" spans="1:26" s="82" customFormat="1" ht="15.5">
      <c r="A108" s="532"/>
      <c r="B108" s="524" t="s">
        <v>531</v>
      </c>
      <c r="C108" s="524">
        <v>46443</v>
      </c>
      <c r="D108" s="524">
        <v>44492</v>
      </c>
      <c r="E108" s="524">
        <v>36562</v>
      </c>
      <c r="F108" s="524">
        <v>6111</v>
      </c>
      <c r="G108" s="524">
        <v>0</v>
      </c>
      <c r="H108" s="524">
        <v>0</v>
      </c>
      <c r="I108" s="524">
        <v>0</v>
      </c>
      <c r="J108" s="523">
        <v>133608</v>
      </c>
      <c r="K108" s="523">
        <v>0</v>
      </c>
      <c r="L108" s="523">
        <v>0</v>
      </c>
      <c r="M108" s="523">
        <v>0</v>
      </c>
      <c r="N108" s="524">
        <v>0</v>
      </c>
      <c r="O108" s="524">
        <v>0</v>
      </c>
      <c r="P108" s="524">
        <v>0</v>
      </c>
      <c r="Q108" s="523">
        <v>0</v>
      </c>
      <c r="R108" s="523">
        <v>0</v>
      </c>
      <c r="S108" s="524">
        <v>0</v>
      </c>
      <c r="T108" s="523">
        <v>0</v>
      </c>
      <c r="U108" s="523">
        <v>0</v>
      </c>
      <c r="V108" s="525">
        <v>0</v>
      </c>
      <c r="W108" s="67"/>
      <c r="X108" s="67"/>
      <c r="Y108" s="67"/>
      <c r="Z108" s="67"/>
    </row>
    <row r="109" spans="1:26" s="82" customFormat="1" ht="15.5">
      <c r="A109" s="534"/>
      <c r="B109" s="524" t="s">
        <v>532</v>
      </c>
      <c r="C109" s="524">
        <v>69959</v>
      </c>
      <c r="D109" s="524">
        <v>59960</v>
      </c>
      <c r="E109" s="524">
        <v>50900</v>
      </c>
      <c r="F109" s="524">
        <v>11100</v>
      </c>
      <c r="G109" s="524">
        <v>0</v>
      </c>
      <c r="H109" s="524">
        <v>0</v>
      </c>
      <c r="I109" s="524">
        <v>0</v>
      </c>
      <c r="J109" s="523">
        <v>191919</v>
      </c>
      <c r="K109" s="523">
        <v>0</v>
      </c>
      <c r="L109" s="523">
        <v>0</v>
      </c>
      <c r="M109" s="523">
        <v>0</v>
      </c>
      <c r="N109" s="524">
        <v>0</v>
      </c>
      <c r="O109" s="524">
        <v>0</v>
      </c>
      <c r="P109" s="524">
        <v>0</v>
      </c>
      <c r="Q109" s="523">
        <v>0</v>
      </c>
      <c r="R109" s="523">
        <v>0</v>
      </c>
      <c r="S109" s="524">
        <v>0</v>
      </c>
      <c r="T109" s="523">
        <v>0</v>
      </c>
      <c r="U109" s="523">
        <v>0</v>
      </c>
      <c r="V109" s="525">
        <v>0</v>
      </c>
      <c r="W109" s="67"/>
      <c r="X109" s="67"/>
      <c r="Y109" s="67"/>
      <c r="Z109" s="67"/>
    </row>
    <row r="110" spans="1:26" s="82" customFormat="1" ht="15.5">
      <c r="A110" s="521" t="s">
        <v>436</v>
      </c>
      <c r="B110" s="524" t="s">
        <v>525</v>
      </c>
      <c r="C110" s="521">
        <v>0</v>
      </c>
      <c r="D110" s="521">
        <v>0</v>
      </c>
      <c r="E110" s="521">
        <v>0</v>
      </c>
      <c r="F110" s="521">
        <v>0</v>
      </c>
      <c r="G110" s="521">
        <v>0</v>
      </c>
      <c r="H110" s="521"/>
      <c r="I110" s="521"/>
      <c r="J110" s="520">
        <v>0</v>
      </c>
      <c r="K110" s="520"/>
      <c r="L110" s="520"/>
      <c r="M110" s="520">
        <v>0</v>
      </c>
      <c r="N110" s="521">
        <v>0</v>
      </c>
      <c r="O110" s="521">
        <v>0</v>
      </c>
      <c r="P110" s="521">
        <v>0</v>
      </c>
      <c r="Q110" s="520">
        <v>0</v>
      </c>
      <c r="R110" s="520"/>
      <c r="S110" s="521"/>
      <c r="T110" s="520"/>
      <c r="U110" s="520"/>
      <c r="V110" s="522"/>
      <c r="W110" s="67"/>
      <c r="X110" s="67"/>
      <c r="Y110" s="67"/>
      <c r="Z110" s="67"/>
    </row>
    <row r="111" spans="1:26" s="82" customFormat="1" ht="15.5">
      <c r="A111" s="532"/>
      <c r="B111" s="524" t="s">
        <v>526</v>
      </c>
      <c r="C111" s="524">
        <v>7381823</v>
      </c>
      <c r="D111" s="524">
        <v>1631238</v>
      </c>
      <c r="E111" s="524">
        <v>4129716</v>
      </c>
      <c r="F111" s="524">
        <v>626989</v>
      </c>
      <c r="G111" s="524">
        <v>64897</v>
      </c>
      <c r="H111" s="524"/>
      <c r="I111" s="524"/>
      <c r="J111" s="523">
        <v>13834663</v>
      </c>
      <c r="K111" s="523"/>
      <c r="L111" s="523"/>
      <c r="M111" s="523">
        <v>745813</v>
      </c>
      <c r="N111" s="524">
        <v>9513839</v>
      </c>
      <c r="O111" s="524">
        <v>2369322</v>
      </c>
      <c r="P111" s="524">
        <v>779499</v>
      </c>
      <c r="Q111" s="523">
        <v>13408473</v>
      </c>
      <c r="R111" s="523"/>
      <c r="S111" s="524"/>
      <c r="T111" s="523"/>
      <c r="U111" s="523"/>
      <c r="V111" s="525"/>
      <c r="W111" s="67"/>
      <c r="X111" s="67"/>
      <c r="Y111" s="67"/>
      <c r="Z111" s="67"/>
    </row>
    <row r="112" spans="1:26" s="82" customFormat="1" ht="15.5">
      <c r="A112" s="532"/>
      <c r="B112" s="524" t="s">
        <v>527</v>
      </c>
      <c r="C112" s="524">
        <v>0</v>
      </c>
      <c r="D112" s="524">
        <v>0</v>
      </c>
      <c r="E112" s="524">
        <v>0</v>
      </c>
      <c r="F112" s="524">
        <v>0</v>
      </c>
      <c r="G112" s="524">
        <v>0</v>
      </c>
      <c r="H112" s="524">
        <v>0</v>
      </c>
      <c r="I112" s="524">
        <v>0</v>
      </c>
      <c r="J112" s="523">
        <v>0</v>
      </c>
      <c r="K112" s="523">
        <v>0</v>
      </c>
      <c r="L112" s="523">
        <v>0</v>
      </c>
      <c r="M112" s="523">
        <v>0</v>
      </c>
      <c r="N112" s="524">
        <v>0</v>
      </c>
      <c r="O112" s="524">
        <v>0</v>
      </c>
      <c r="P112" s="524">
        <v>0</v>
      </c>
      <c r="Q112" s="523">
        <v>0</v>
      </c>
      <c r="R112" s="523">
        <v>0</v>
      </c>
      <c r="S112" s="524">
        <v>0</v>
      </c>
      <c r="T112" s="523">
        <v>0</v>
      </c>
      <c r="U112" s="523">
        <v>0</v>
      </c>
      <c r="V112" s="525">
        <v>0</v>
      </c>
      <c r="W112" s="67"/>
      <c r="X112" s="67"/>
      <c r="Y112" s="67"/>
      <c r="Z112" s="67"/>
    </row>
    <row r="113" spans="1:26" s="82" customFormat="1" ht="15.5">
      <c r="A113" s="532"/>
      <c r="B113" s="524" t="s">
        <v>528</v>
      </c>
      <c r="C113" s="524">
        <v>3978755</v>
      </c>
      <c r="D113" s="524">
        <v>852464</v>
      </c>
      <c r="E113" s="524">
        <v>2375118</v>
      </c>
      <c r="F113" s="524">
        <v>457862</v>
      </c>
      <c r="G113" s="524">
        <v>30061</v>
      </c>
      <c r="H113" s="524">
        <v>0</v>
      </c>
      <c r="I113" s="524">
        <v>0</v>
      </c>
      <c r="J113" s="523">
        <v>7694260</v>
      </c>
      <c r="K113" s="523">
        <v>0</v>
      </c>
      <c r="L113" s="523">
        <v>0</v>
      </c>
      <c r="M113" s="523">
        <v>469874</v>
      </c>
      <c r="N113" s="524">
        <v>5409082</v>
      </c>
      <c r="O113" s="524">
        <v>1395479</v>
      </c>
      <c r="P113" s="524">
        <v>613983</v>
      </c>
      <c r="Q113" s="523">
        <v>7888418</v>
      </c>
      <c r="R113" s="523">
        <v>0</v>
      </c>
      <c r="S113" s="524">
        <v>0</v>
      </c>
      <c r="T113" s="523">
        <v>0</v>
      </c>
      <c r="U113" s="523">
        <v>0</v>
      </c>
      <c r="V113" s="525">
        <v>0</v>
      </c>
      <c r="W113" s="67"/>
      <c r="X113" s="67"/>
      <c r="Y113" s="67"/>
      <c r="Z113" s="67"/>
    </row>
    <row r="114" spans="1:26" s="82" customFormat="1" ht="15.5">
      <c r="A114" s="532"/>
      <c r="B114" s="524" t="s">
        <v>529</v>
      </c>
      <c r="C114" s="524">
        <v>0</v>
      </c>
      <c r="D114" s="524">
        <v>0</v>
      </c>
      <c r="E114" s="524">
        <v>0</v>
      </c>
      <c r="F114" s="524">
        <v>0</v>
      </c>
      <c r="G114" s="524">
        <v>0</v>
      </c>
      <c r="H114" s="524"/>
      <c r="I114" s="524"/>
      <c r="J114" s="523">
        <v>0</v>
      </c>
      <c r="K114" s="523"/>
      <c r="L114" s="523"/>
      <c r="M114" s="523">
        <v>0</v>
      </c>
      <c r="N114" s="524">
        <v>0</v>
      </c>
      <c r="O114" s="524">
        <v>0</v>
      </c>
      <c r="P114" s="524">
        <v>0</v>
      </c>
      <c r="Q114" s="523">
        <v>0</v>
      </c>
      <c r="R114" s="523"/>
      <c r="S114" s="524"/>
      <c r="T114" s="523"/>
      <c r="U114" s="523"/>
      <c r="V114" s="525"/>
      <c r="W114" s="67"/>
      <c r="X114" s="67"/>
      <c r="Y114" s="67"/>
      <c r="Z114" s="67"/>
    </row>
    <row r="115" spans="1:26" s="82" customFormat="1" ht="15.5">
      <c r="A115" s="532"/>
      <c r="B115" s="524" t="s">
        <v>530</v>
      </c>
      <c r="C115" s="524">
        <v>1313776</v>
      </c>
      <c r="D115" s="524">
        <v>239543</v>
      </c>
      <c r="E115" s="524">
        <v>724450</v>
      </c>
      <c r="F115" s="524">
        <v>85412</v>
      </c>
      <c r="G115" s="524">
        <v>4461</v>
      </c>
      <c r="H115" s="524"/>
      <c r="I115" s="524"/>
      <c r="J115" s="523">
        <v>2367642</v>
      </c>
      <c r="K115" s="523"/>
      <c r="L115" s="523"/>
      <c r="M115" s="523">
        <v>0</v>
      </c>
      <c r="N115" s="524">
        <v>0</v>
      </c>
      <c r="O115" s="524">
        <v>0</v>
      </c>
      <c r="P115" s="524">
        <v>0</v>
      </c>
      <c r="Q115" s="523">
        <v>0</v>
      </c>
      <c r="R115" s="523"/>
      <c r="S115" s="524"/>
      <c r="T115" s="523"/>
      <c r="U115" s="523"/>
      <c r="V115" s="525"/>
      <c r="W115" s="67"/>
      <c r="X115" s="67"/>
      <c r="Y115" s="67"/>
      <c r="Z115" s="67"/>
    </row>
    <row r="116" spans="1:26" s="82" customFormat="1" ht="15.5">
      <c r="A116" s="532"/>
      <c r="B116" s="524" t="s">
        <v>531</v>
      </c>
      <c r="C116" s="524">
        <v>0</v>
      </c>
      <c r="D116" s="524">
        <v>0</v>
      </c>
      <c r="E116" s="524">
        <v>0</v>
      </c>
      <c r="F116" s="524">
        <v>0</v>
      </c>
      <c r="G116" s="524">
        <v>0</v>
      </c>
      <c r="H116" s="524">
        <v>0</v>
      </c>
      <c r="I116" s="524">
        <v>0</v>
      </c>
      <c r="J116" s="523">
        <v>0</v>
      </c>
      <c r="K116" s="523">
        <v>0</v>
      </c>
      <c r="L116" s="523">
        <v>0</v>
      </c>
      <c r="M116" s="523">
        <v>0</v>
      </c>
      <c r="N116" s="524">
        <v>0</v>
      </c>
      <c r="O116" s="524">
        <v>0</v>
      </c>
      <c r="P116" s="524">
        <v>0</v>
      </c>
      <c r="Q116" s="523">
        <v>0</v>
      </c>
      <c r="R116" s="523">
        <v>0</v>
      </c>
      <c r="S116" s="524">
        <v>0</v>
      </c>
      <c r="T116" s="523">
        <v>0</v>
      </c>
      <c r="U116" s="523">
        <v>0</v>
      </c>
      <c r="V116" s="525">
        <v>0</v>
      </c>
      <c r="W116" s="67"/>
      <c r="X116" s="67"/>
      <c r="Y116" s="67"/>
      <c r="Z116" s="67"/>
    </row>
    <row r="117" spans="1:26" s="82" customFormat="1" ht="15.5">
      <c r="A117" s="534"/>
      <c r="B117" s="524" t="s">
        <v>532</v>
      </c>
      <c r="C117" s="524">
        <v>639326</v>
      </c>
      <c r="D117" s="524">
        <v>145395</v>
      </c>
      <c r="E117" s="524">
        <v>577542</v>
      </c>
      <c r="F117" s="524">
        <v>68996</v>
      </c>
      <c r="G117" s="524">
        <v>2680</v>
      </c>
      <c r="H117" s="524">
        <v>0</v>
      </c>
      <c r="I117" s="524">
        <v>0</v>
      </c>
      <c r="J117" s="523">
        <v>1433939</v>
      </c>
      <c r="K117" s="523">
        <v>0</v>
      </c>
      <c r="L117" s="523">
        <v>0</v>
      </c>
      <c r="M117" s="523">
        <v>0</v>
      </c>
      <c r="N117" s="524">
        <v>0</v>
      </c>
      <c r="O117" s="524">
        <v>0</v>
      </c>
      <c r="P117" s="524">
        <v>0</v>
      </c>
      <c r="Q117" s="523">
        <v>0</v>
      </c>
      <c r="R117" s="523">
        <v>0</v>
      </c>
      <c r="S117" s="524">
        <v>0</v>
      </c>
      <c r="T117" s="523">
        <v>0</v>
      </c>
      <c r="U117" s="523">
        <v>0</v>
      </c>
      <c r="V117" s="525">
        <v>0</v>
      </c>
      <c r="W117" s="67"/>
      <c r="X117" s="67"/>
      <c r="Y117" s="67"/>
      <c r="Z117" s="67"/>
    </row>
    <row r="118" spans="1:26" s="82" customFormat="1" ht="15.5">
      <c r="A118" s="521" t="s">
        <v>438</v>
      </c>
      <c r="B118" s="524" t="s">
        <v>525</v>
      </c>
      <c r="C118" s="521">
        <v>3275336</v>
      </c>
      <c r="D118" s="521">
        <v>184143.5</v>
      </c>
      <c r="E118" s="521">
        <v>944287.7</v>
      </c>
      <c r="F118" s="521">
        <v>137498</v>
      </c>
      <c r="G118" s="521">
        <v>372672.2</v>
      </c>
      <c r="H118" s="521">
        <v>45800</v>
      </c>
      <c r="I118" s="521"/>
      <c r="J118" s="520">
        <v>4959737.4000000004</v>
      </c>
      <c r="K118" s="520"/>
      <c r="L118" s="520"/>
      <c r="M118" s="520"/>
      <c r="N118" s="521">
        <v>1819949</v>
      </c>
      <c r="O118" s="521">
        <v>718044</v>
      </c>
      <c r="P118" s="521">
        <v>429842</v>
      </c>
      <c r="Q118" s="520">
        <v>2967835</v>
      </c>
      <c r="R118" s="520"/>
      <c r="S118" s="521"/>
      <c r="T118" s="520"/>
      <c r="U118" s="520"/>
      <c r="V118" s="522"/>
      <c r="W118" s="67"/>
      <c r="X118" s="67"/>
      <c r="Y118" s="67"/>
      <c r="Z118" s="67"/>
    </row>
    <row r="119" spans="1:26" s="82" customFormat="1" ht="15.5">
      <c r="A119" s="532"/>
      <c r="B119" s="524" t="s">
        <v>526</v>
      </c>
      <c r="C119" s="524">
        <v>3317776</v>
      </c>
      <c r="D119" s="524">
        <v>182600.3</v>
      </c>
      <c r="E119" s="524">
        <v>922524</v>
      </c>
      <c r="F119" s="524">
        <v>136802</v>
      </c>
      <c r="G119" s="524">
        <v>364064</v>
      </c>
      <c r="H119" s="524">
        <v>45821</v>
      </c>
      <c r="I119" s="524"/>
      <c r="J119" s="523">
        <v>4969587.3</v>
      </c>
      <c r="K119" s="523"/>
      <c r="L119" s="523"/>
      <c r="M119" s="523"/>
      <c r="N119" s="524">
        <v>1731760</v>
      </c>
      <c r="O119" s="524">
        <v>704936</v>
      </c>
      <c r="P119" s="524">
        <v>414128</v>
      </c>
      <c r="Q119" s="523">
        <v>2850824</v>
      </c>
      <c r="R119" s="523"/>
      <c r="S119" s="524"/>
      <c r="T119" s="523"/>
      <c r="U119" s="523"/>
      <c r="V119" s="525"/>
      <c r="W119" s="67"/>
      <c r="X119" s="67"/>
      <c r="Y119" s="67"/>
      <c r="Z119" s="67"/>
    </row>
    <row r="120" spans="1:26" s="82" customFormat="1" ht="15.5">
      <c r="A120" s="532"/>
      <c r="B120" s="524" t="s">
        <v>527</v>
      </c>
      <c r="C120" s="524">
        <v>367905</v>
      </c>
      <c r="D120" s="524">
        <v>1128</v>
      </c>
      <c r="E120" s="524">
        <v>79411</v>
      </c>
      <c r="F120" s="524">
        <v>32017</v>
      </c>
      <c r="G120" s="524">
        <v>19646.2</v>
      </c>
      <c r="H120" s="524">
        <v>11457</v>
      </c>
      <c r="I120" s="524">
        <v>0</v>
      </c>
      <c r="J120" s="523">
        <v>511564.2</v>
      </c>
      <c r="K120" s="523">
        <v>0</v>
      </c>
      <c r="L120" s="523">
        <v>0</v>
      </c>
      <c r="M120" s="523">
        <v>0</v>
      </c>
      <c r="N120" s="524">
        <v>517270</v>
      </c>
      <c r="O120" s="524">
        <v>254797</v>
      </c>
      <c r="P120" s="524">
        <v>171157</v>
      </c>
      <c r="Q120" s="523">
        <v>943224</v>
      </c>
      <c r="R120" s="523">
        <v>0</v>
      </c>
      <c r="S120" s="524">
        <v>0</v>
      </c>
      <c r="T120" s="523">
        <v>0</v>
      </c>
      <c r="U120" s="523">
        <v>0</v>
      </c>
      <c r="V120" s="525">
        <v>0</v>
      </c>
      <c r="W120" s="67"/>
      <c r="X120" s="67"/>
      <c r="Y120" s="67"/>
      <c r="Z120" s="67"/>
    </row>
    <row r="121" spans="1:26" s="82" customFormat="1" ht="15.5">
      <c r="A121" s="532"/>
      <c r="B121" s="524" t="s">
        <v>528</v>
      </c>
      <c r="C121" s="524">
        <v>1462620.5</v>
      </c>
      <c r="D121" s="524">
        <v>78805.5</v>
      </c>
      <c r="E121" s="524">
        <v>374726</v>
      </c>
      <c r="F121" s="524">
        <v>43499</v>
      </c>
      <c r="G121" s="524">
        <v>121901</v>
      </c>
      <c r="H121" s="524">
        <v>12396</v>
      </c>
      <c r="I121" s="524">
        <v>0</v>
      </c>
      <c r="J121" s="523">
        <v>2093948</v>
      </c>
      <c r="K121" s="523">
        <v>0</v>
      </c>
      <c r="L121" s="523">
        <v>0</v>
      </c>
      <c r="M121" s="523">
        <v>0</v>
      </c>
      <c r="N121" s="524">
        <v>957758</v>
      </c>
      <c r="O121" s="524">
        <v>421521</v>
      </c>
      <c r="P121" s="524">
        <v>236824</v>
      </c>
      <c r="Q121" s="523">
        <v>1616103</v>
      </c>
      <c r="R121" s="523">
        <v>0</v>
      </c>
      <c r="S121" s="524">
        <v>0</v>
      </c>
      <c r="T121" s="523">
        <v>0</v>
      </c>
      <c r="U121" s="523">
        <v>0</v>
      </c>
      <c r="V121" s="525">
        <v>0</v>
      </c>
      <c r="W121" s="67"/>
      <c r="X121" s="67"/>
      <c r="Y121" s="67"/>
      <c r="Z121" s="67"/>
    </row>
    <row r="122" spans="1:26" s="82" customFormat="1" ht="15.5">
      <c r="A122" s="532"/>
      <c r="B122" s="524" t="s">
        <v>529</v>
      </c>
      <c r="C122" s="524">
        <v>714323</v>
      </c>
      <c r="D122" s="524">
        <v>59874</v>
      </c>
      <c r="E122" s="524">
        <v>71678</v>
      </c>
      <c r="F122" s="524">
        <v>9544</v>
      </c>
      <c r="G122" s="524">
        <v>18846</v>
      </c>
      <c r="H122" s="524">
        <v>0</v>
      </c>
      <c r="I122" s="524"/>
      <c r="J122" s="523">
        <v>874265</v>
      </c>
      <c r="K122" s="523"/>
      <c r="L122" s="523"/>
      <c r="M122" s="523"/>
      <c r="N122" s="524">
        <v>0</v>
      </c>
      <c r="O122" s="524">
        <v>0</v>
      </c>
      <c r="P122" s="524">
        <v>0</v>
      </c>
      <c r="Q122" s="523">
        <v>0</v>
      </c>
      <c r="R122" s="523"/>
      <c r="S122" s="524"/>
      <c r="T122" s="523"/>
      <c r="U122" s="523"/>
      <c r="V122" s="525"/>
      <c r="W122" s="67"/>
      <c r="X122" s="67"/>
      <c r="Y122" s="67"/>
      <c r="Z122" s="67"/>
    </row>
    <row r="123" spans="1:26" s="82" customFormat="1" ht="15.5">
      <c r="A123" s="532"/>
      <c r="B123" s="524" t="s">
        <v>530</v>
      </c>
      <c r="C123" s="524">
        <v>720167</v>
      </c>
      <c r="D123" s="524">
        <v>62133.5</v>
      </c>
      <c r="E123" s="524">
        <v>82293</v>
      </c>
      <c r="F123" s="524">
        <v>8473</v>
      </c>
      <c r="G123" s="524">
        <v>22499.599999999999</v>
      </c>
      <c r="H123" s="524">
        <v>0</v>
      </c>
      <c r="I123" s="524"/>
      <c r="J123" s="523">
        <v>895566.1</v>
      </c>
      <c r="K123" s="523"/>
      <c r="L123" s="523"/>
      <c r="M123" s="523"/>
      <c r="N123" s="524">
        <v>0</v>
      </c>
      <c r="O123" s="524">
        <v>0</v>
      </c>
      <c r="P123" s="524">
        <v>0</v>
      </c>
      <c r="Q123" s="523">
        <v>0</v>
      </c>
      <c r="R123" s="523"/>
      <c r="S123" s="524"/>
      <c r="T123" s="523"/>
      <c r="U123" s="523"/>
      <c r="V123" s="525"/>
      <c r="W123" s="67"/>
      <c r="X123" s="67"/>
      <c r="Y123" s="67"/>
      <c r="Z123" s="67"/>
    </row>
    <row r="124" spans="1:26" s="82" customFormat="1" ht="15.5">
      <c r="A124" s="532"/>
      <c r="B124" s="524" t="s">
        <v>531</v>
      </c>
      <c r="C124" s="524">
        <v>120563</v>
      </c>
      <c r="D124" s="524">
        <v>9473.5</v>
      </c>
      <c r="E124" s="524">
        <v>21861</v>
      </c>
      <c r="F124" s="524">
        <v>2112</v>
      </c>
      <c r="G124" s="524">
        <v>7215.6</v>
      </c>
      <c r="H124" s="524">
        <v>0</v>
      </c>
      <c r="I124" s="524">
        <v>0</v>
      </c>
      <c r="J124" s="523">
        <v>161225.1</v>
      </c>
      <c r="K124" s="523">
        <v>0</v>
      </c>
      <c r="L124" s="523">
        <v>0</v>
      </c>
      <c r="M124" s="523">
        <v>0</v>
      </c>
      <c r="N124" s="524">
        <v>0</v>
      </c>
      <c r="O124" s="524">
        <v>0</v>
      </c>
      <c r="P124" s="524">
        <v>0</v>
      </c>
      <c r="Q124" s="523">
        <v>0</v>
      </c>
      <c r="R124" s="523">
        <v>0</v>
      </c>
      <c r="S124" s="524">
        <v>0</v>
      </c>
      <c r="T124" s="523">
        <v>0</v>
      </c>
      <c r="U124" s="523">
        <v>0</v>
      </c>
      <c r="V124" s="525">
        <v>0</v>
      </c>
      <c r="W124" s="67"/>
      <c r="X124" s="67"/>
      <c r="Y124" s="67"/>
      <c r="Z124" s="67"/>
    </row>
    <row r="125" spans="1:26" s="82" customFormat="1" ht="15.5">
      <c r="A125" s="532"/>
      <c r="B125" s="524" t="s">
        <v>532</v>
      </c>
      <c r="C125" s="524">
        <v>279632</v>
      </c>
      <c r="D125" s="524">
        <v>30282</v>
      </c>
      <c r="E125" s="524">
        <v>41215</v>
      </c>
      <c r="F125" s="524">
        <v>2367</v>
      </c>
      <c r="G125" s="524">
        <v>16465</v>
      </c>
      <c r="H125" s="524">
        <v>0</v>
      </c>
      <c r="I125" s="524">
        <v>0</v>
      </c>
      <c r="J125" s="523">
        <v>369961</v>
      </c>
      <c r="K125" s="523">
        <v>0</v>
      </c>
      <c r="L125" s="523">
        <v>0</v>
      </c>
      <c r="M125" s="523">
        <v>0</v>
      </c>
      <c r="N125" s="524">
        <v>0</v>
      </c>
      <c r="O125" s="524">
        <v>0</v>
      </c>
      <c r="P125" s="524">
        <v>0</v>
      </c>
      <c r="Q125" s="523">
        <v>0</v>
      </c>
      <c r="R125" s="523">
        <v>0</v>
      </c>
      <c r="S125" s="524">
        <v>0</v>
      </c>
      <c r="T125" s="523">
        <v>0</v>
      </c>
      <c r="U125" s="523">
        <v>0</v>
      </c>
      <c r="V125" s="525">
        <v>0</v>
      </c>
      <c r="W125" s="67"/>
      <c r="X125" s="67"/>
      <c r="Y125" s="67"/>
      <c r="Z125" s="67"/>
    </row>
    <row r="126" spans="1:26" s="82" customFormat="1" ht="15.5">
      <c r="A126" s="521" t="s">
        <v>477</v>
      </c>
      <c r="B126" s="524" t="s">
        <v>525</v>
      </c>
      <c r="C126" s="521">
        <v>610650</v>
      </c>
      <c r="D126" s="521"/>
      <c r="E126" s="521">
        <v>246456</v>
      </c>
      <c r="F126" s="521"/>
      <c r="G126" s="521">
        <v>285476</v>
      </c>
      <c r="H126" s="521">
        <v>177726</v>
      </c>
      <c r="I126" s="521">
        <v>0</v>
      </c>
      <c r="J126" s="520">
        <v>1320308</v>
      </c>
      <c r="K126" s="520">
        <v>0</v>
      </c>
      <c r="L126" s="520">
        <v>0</v>
      </c>
      <c r="M126" s="520">
        <v>86472</v>
      </c>
      <c r="N126" s="521"/>
      <c r="O126" s="521">
        <v>65355</v>
      </c>
      <c r="P126" s="521">
        <v>212955</v>
      </c>
      <c r="Q126" s="520">
        <v>364782</v>
      </c>
      <c r="R126" s="520"/>
      <c r="S126" s="521"/>
      <c r="T126" s="520"/>
      <c r="U126" s="520"/>
      <c r="V126" s="522"/>
      <c r="W126" s="67"/>
      <c r="X126" s="67"/>
      <c r="Y126" s="67"/>
      <c r="Z126" s="67"/>
    </row>
    <row r="127" spans="1:26" s="82" customFormat="1" ht="15.5">
      <c r="A127" s="532"/>
      <c r="B127" s="524" t="s">
        <v>526</v>
      </c>
      <c r="C127" s="524">
        <v>598709</v>
      </c>
      <c r="D127" s="524"/>
      <c r="E127" s="524">
        <v>237987</v>
      </c>
      <c r="F127" s="524"/>
      <c r="G127" s="524">
        <v>273572</v>
      </c>
      <c r="H127" s="524">
        <v>172922</v>
      </c>
      <c r="I127" s="524">
        <v>0</v>
      </c>
      <c r="J127" s="523">
        <v>1283190</v>
      </c>
      <c r="K127" s="523">
        <v>0</v>
      </c>
      <c r="L127" s="523">
        <v>0</v>
      </c>
      <c r="M127" s="523">
        <v>85741</v>
      </c>
      <c r="N127" s="524"/>
      <c r="O127" s="524">
        <v>50852</v>
      </c>
      <c r="P127" s="524">
        <v>199350</v>
      </c>
      <c r="Q127" s="523">
        <v>335943</v>
      </c>
      <c r="R127" s="523"/>
      <c r="S127" s="524"/>
      <c r="T127" s="523"/>
      <c r="U127" s="523"/>
      <c r="V127" s="525"/>
      <c r="W127" s="67"/>
      <c r="X127" s="67"/>
      <c r="Y127" s="67"/>
      <c r="Z127" s="67"/>
    </row>
    <row r="128" spans="1:26" s="82" customFormat="1" ht="15.5">
      <c r="A128" s="532"/>
      <c r="B128" s="524" t="s">
        <v>527</v>
      </c>
      <c r="C128" s="524">
        <v>80558</v>
      </c>
      <c r="D128" s="524">
        <v>0</v>
      </c>
      <c r="E128" s="524">
        <v>47769</v>
      </c>
      <c r="F128" s="524">
        <v>0</v>
      </c>
      <c r="G128" s="524">
        <v>54801</v>
      </c>
      <c r="H128" s="524">
        <v>51881</v>
      </c>
      <c r="I128" s="524">
        <v>0</v>
      </c>
      <c r="J128" s="523">
        <v>235009</v>
      </c>
      <c r="K128" s="523">
        <v>0</v>
      </c>
      <c r="L128" s="523">
        <v>0</v>
      </c>
      <c r="M128" s="523">
        <v>31804</v>
      </c>
      <c r="N128" s="524">
        <v>0</v>
      </c>
      <c r="O128" s="524">
        <v>14992</v>
      </c>
      <c r="P128" s="524">
        <v>74363</v>
      </c>
      <c r="Q128" s="523">
        <v>121159</v>
      </c>
      <c r="R128" s="523">
        <v>0</v>
      </c>
      <c r="S128" s="524">
        <v>0</v>
      </c>
      <c r="T128" s="523">
        <v>0</v>
      </c>
      <c r="U128" s="523">
        <v>0</v>
      </c>
      <c r="V128" s="525">
        <v>0</v>
      </c>
      <c r="W128" s="67"/>
      <c r="X128" s="67"/>
      <c r="Y128" s="67"/>
      <c r="Z128" s="67"/>
    </row>
    <row r="129" spans="1:26" s="82" customFormat="1" ht="15.5">
      <c r="A129" s="532"/>
      <c r="B129" s="524" t="s">
        <v>528</v>
      </c>
      <c r="C129" s="524">
        <v>260149</v>
      </c>
      <c r="D129" s="524">
        <v>0</v>
      </c>
      <c r="E129" s="524">
        <v>114746</v>
      </c>
      <c r="F129" s="524">
        <v>0</v>
      </c>
      <c r="G129" s="524">
        <v>101672</v>
      </c>
      <c r="H129" s="524">
        <v>66152</v>
      </c>
      <c r="I129" s="524">
        <v>0</v>
      </c>
      <c r="J129" s="523">
        <v>542719</v>
      </c>
      <c r="K129" s="523">
        <v>0</v>
      </c>
      <c r="L129" s="523">
        <v>0</v>
      </c>
      <c r="M129" s="523">
        <v>32421</v>
      </c>
      <c r="N129" s="524">
        <v>0</v>
      </c>
      <c r="O129" s="524">
        <v>28062</v>
      </c>
      <c r="P129" s="524">
        <v>102350</v>
      </c>
      <c r="Q129" s="523">
        <v>162833</v>
      </c>
      <c r="R129" s="523">
        <v>0</v>
      </c>
      <c r="S129" s="524">
        <v>0</v>
      </c>
      <c r="T129" s="523">
        <v>0</v>
      </c>
      <c r="U129" s="523">
        <v>0</v>
      </c>
      <c r="V129" s="525">
        <v>0</v>
      </c>
      <c r="W129" s="67"/>
      <c r="X129" s="67"/>
      <c r="Y129" s="67"/>
      <c r="Z129" s="67"/>
    </row>
    <row r="130" spans="1:26" s="82" customFormat="1" ht="15.5">
      <c r="A130" s="532"/>
      <c r="B130" s="524" t="s">
        <v>529</v>
      </c>
      <c r="C130" s="524">
        <v>85974</v>
      </c>
      <c r="D130" s="524"/>
      <c r="E130" s="524">
        <v>64539</v>
      </c>
      <c r="F130" s="524"/>
      <c r="G130" s="524">
        <v>23089</v>
      </c>
      <c r="H130" s="524">
        <v>2419</v>
      </c>
      <c r="I130" s="524">
        <v>0</v>
      </c>
      <c r="J130" s="523">
        <v>176021</v>
      </c>
      <c r="K130" s="523">
        <v>0</v>
      </c>
      <c r="L130" s="523">
        <v>0</v>
      </c>
      <c r="M130" s="523">
        <v>0</v>
      </c>
      <c r="N130" s="524"/>
      <c r="O130" s="524">
        <v>0</v>
      </c>
      <c r="P130" s="524">
        <v>0</v>
      </c>
      <c r="Q130" s="523">
        <v>0</v>
      </c>
      <c r="R130" s="523"/>
      <c r="S130" s="524"/>
      <c r="T130" s="523"/>
      <c r="U130" s="523"/>
      <c r="V130" s="525"/>
      <c r="W130" s="67"/>
      <c r="X130" s="67"/>
      <c r="Y130" s="67"/>
      <c r="Z130" s="67"/>
    </row>
    <row r="131" spans="1:26" s="82" customFormat="1" ht="15.5">
      <c r="A131" s="532"/>
      <c r="B131" s="524" t="s">
        <v>530</v>
      </c>
      <c r="C131" s="524">
        <v>88595</v>
      </c>
      <c r="D131" s="524"/>
      <c r="E131" s="524">
        <v>61591</v>
      </c>
      <c r="F131" s="524"/>
      <c r="G131" s="524">
        <v>29144</v>
      </c>
      <c r="H131" s="524">
        <v>2353</v>
      </c>
      <c r="I131" s="524">
        <v>0</v>
      </c>
      <c r="J131" s="523">
        <v>181683</v>
      </c>
      <c r="K131" s="523">
        <v>0</v>
      </c>
      <c r="L131" s="523">
        <v>0</v>
      </c>
      <c r="M131" s="523">
        <v>0</v>
      </c>
      <c r="N131" s="524"/>
      <c r="O131" s="524">
        <v>0</v>
      </c>
      <c r="P131" s="524">
        <v>0</v>
      </c>
      <c r="Q131" s="523">
        <v>0</v>
      </c>
      <c r="R131" s="523"/>
      <c r="S131" s="524"/>
      <c r="T131" s="523"/>
      <c r="U131" s="523"/>
      <c r="V131" s="525"/>
      <c r="W131" s="67"/>
      <c r="X131" s="67"/>
      <c r="Y131" s="67"/>
      <c r="Z131" s="67"/>
    </row>
    <row r="132" spans="1:26" s="82" customFormat="1" ht="15.5">
      <c r="A132" s="532"/>
      <c r="B132" s="524" t="s">
        <v>531</v>
      </c>
      <c r="C132" s="524">
        <v>25482</v>
      </c>
      <c r="D132" s="524">
        <v>0</v>
      </c>
      <c r="E132" s="524">
        <v>21210</v>
      </c>
      <c r="F132" s="524">
        <v>0</v>
      </c>
      <c r="G132" s="524">
        <v>13227</v>
      </c>
      <c r="H132" s="524">
        <v>627</v>
      </c>
      <c r="I132" s="524">
        <v>0</v>
      </c>
      <c r="J132" s="523">
        <v>60546</v>
      </c>
      <c r="K132" s="523">
        <v>0</v>
      </c>
      <c r="L132" s="523">
        <v>0</v>
      </c>
      <c r="M132" s="523">
        <v>0</v>
      </c>
      <c r="N132" s="524">
        <v>0</v>
      </c>
      <c r="O132" s="524">
        <v>0</v>
      </c>
      <c r="P132" s="524">
        <v>0</v>
      </c>
      <c r="Q132" s="523">
        <v>0</v>
      </c>
      <c r="R132" s="523">
        <v>0</v>
      </c>
      <c r="S132" s="524">
        <v>0</v>
      </c>
      <c r="T132" s="523">
        <v>0</v>
      </c>
      <c r="U132" s="523">
        <v>0</v>
      </c>
      <c r="V132" s="525">
        <v>0</v>
      </c>
      <c r="W132" s="67"/>
      <c r="X132" s="67"/>
      <c r="Y132" s="67"/>
      <c r="Z132" s="67"/>
    </row>
    <row r="133" spans="1:26" s="82" customFormat="1" ht="15.5">
      <c r="A133" s="535"/>
      <c r="B133" s="530" t="s">
        <v>532</v>
      </c>
      <c r="C133" s="530">
        <v>36262</v>
      </c>
      <c r="D133" s="530">
        <v>0</v>
      </c>
      <c r="E133" s="530">
        <v>37721</v>
      </c>
      <c r="F133" s="530">
        <v>0</v>
      </c>
      <c r="G133" s="530">
        <v>19838</v>
      </c>
      <c r="H133" s="530">
        <v>657</v>
      </c>
      <c r="I133" s="530">
        <v>0</v>
      </c>
      <c r="J133" s="529">
        <v>94478</v>
      </c>
      <c r="K133" s="529">
        <v>0</v>
      </c>
      <c r="L133" s="529">
        <v>0</v>
      </c>
      <c r="M133" s="529">
        <v>0</v>
      </c>
      <c r="N133" s="530">
        <v>0</v>
      </c>
      <c r="O133" s="530">
        <v>0</v>
      </c>
      <c r="P133" s="530">
        <v>0</v>
      </c>
      <c r="Q133" s="529">
        <v>0</v>
      </c>
      <c r="R133" s="529">
        <v>0</v>
      </c>
      <c r="S133" s="530">
        <v>0</v>
      </c>
      <c r="T133" s="529">
        <v>0</v>
      </c>
      <c r="U133" s="529">
        <v>0</v>
      </c>
      <c r="V133" s="531">
        <v>0</v>
      </c>
      <c r="W133" s="67"/>
      <c r="X133" s="67"/>
      <c r="Y133" s="67"/>
      <c r="Z133" s="67"/>
    </row>
    <row r="134" spans="1:26" s="82" customFormat="1">
      <c r="B134" s="93"/>
      <c r="P134" s="94"/>
      <c r="S134" s="95"/>
      <c r="T134" s="95"/>
      <c r="U134" s="95"/>
      <c r="V134" s="95"/>
    </row>
    <row r="135" spans="1:26" s="82" customFormat="1">
      <c r="S135" s="95"/>
      <c r="T135" s="95"/>
      <c r="U135" s="95"/>
      <c r="V135" s="95"/>
    </row>
    <row r="136" spans="1:26" s="82" customFormat="1">
      <c r="S136" s="95"/>
      <c r="T136" s="95"/>
      <c r="U136" s="95"/>
      <c r="V136" s="95"/>
    </row>
    <row r="137" spans="1:26" s="82" customFormat="1">
      <c r="B137" s="93"/>
      <c r="P137" s="94"/>
      <c r="S137" s="95"/>
      <c r="T137" s="95"/>
      <c r="U137" s="95"/>
      <c r="V137" s="95"/>
    </row>
    <row r="138" spans="1:26" s="82" customFormat="1">
      <c r="S138" s="95"/>
      <c r="T138" s="95"/>
      <c r="U138" s="95"/>
      <c r="V138" s="95"/>
    </row>
    <row r="139" spans="1:26" s="82" customFormat="1">
      <c r="S139" s="95"/>
      <c r="T139" s="95"/>
      <c r="U139" s="95"/>
      <c r="V139" s="95"/>
    </row>
    <row r="140" spans="1:26" s="82" customFormat="1">
      <c r="B140" s="93"/>
      <c r="P140" s="94"/>
      <c r="S140" s="95"/>
      <c r="T140" s="95"/>
      <c r="U140" s="95"/>
      <c r="V140" s="95"/>
    </row>
    <row r="141" spans="1:26" s="82" customFormat="1">
      <c r="S141" s="95"/>
      <c r="T141" s="95"/>
      <c r="U141" s="95"/>
      <c r="V141" s="95"/>
    </row>
    <row r="142" spans="1:26" s="82" customFormat="1">
      <c r="S142" s="95"/>
      <c r="T142" s="95"/>
      <c r="U142" s="95"/>
      <c r="V142" s="95"/>
    </row>
    <row r="143" spans="1:26" s="82" customFormat="1">
      <c r="B143" s="93"/>
      <c r="P143" s="94"/>
      <c r="S143" s="95"/>
      <c r="T143" s="95"/>
      <c r="U143" s="95"/>
      <c r="V143" s="95"/>
    </row>
    <row r="144" spans="1:26" s="82" customFormat="1">
      <c r="S144" s="95"/>
      <c r="T144" s="95"/>
      <c r="U144" s="95"/>
      <c r="V144" s="95"/>
    </row>
    <row r="145" spans="2:22" s="82" customFormat="1">
      <c r="S145" s="95"/>
      <c r="T145" s="95"/>
      <c r="U145" s="95"/>
      <c r="V145" s="95"/>
    </row>
    <row r="146" spans="2:22" s="82" customFormat="1">
      <c r="B146" s="93"/>
      <c r="P146" s="94"/>
      <c r="S146" s="95"/>
      <c r="T146" s="95"/>
      <c r="U146" s="95"/>
      <c r="V146" s="95"/>
    </row>
    <row r="147" spans="2:22" s="82" customFormat="1">
      <c r="S147" s="95"/>
      <c r="T147" s="95"/>
      <c r="U147" s="95"/>
      <c r="V147" s="95"/>
    </row>
    <row r="148" spans="2:22" s="82" customFormat="1">
      <c r="S148" s="95"/>
      <c r="T148" s="95"/>
      <c r="U148" s="95"/>
      <c r="V148" s="95"/>
    </row>
    <row r="149" spans="2:22" s="82" customFormat="1">
      <c r="B149" s="93"/>
      <c r="P149" s="94"/>
      <c r="S149" s="95"/>
      <c r="T149" s="95"/>
      <c r="U149" s="95"/>
      <c r="V149" s="95"/>
    </row>
    <row r="150" spans="2:22" s="82" customFormat="1">
      <c r="S150" s="95"/>
      <c r="T150" s="95"/>
      <c r="U150" s="95"/>
      <c r="V150" s="95"/>
    </row>
    <row r="151" spans="2:22" s="82" customFormat="1">
      <c r="S151" s="95"/>
      <c r="T151" s="95"/>
      <c r="U151" s="95"/>
      <c r="V151" s="95"/>
    </row>
    <row r="152" spans="2:22" s="82" customFormat="1">
      <c r="B152" s="93"/>
      <c r="P152" s="94"/>
      <c r="S152" s="95"/>
      <c r="T152" s="95"/>
      <c r="U152" s="95"/>
      <c r="V152" s="95"/>
    </row>
    <row r="153" spans="2:22" s="82" customFormat="1">
      <c r="S153" s="95"/>
      <c r="T153" s="95"/>
      <c r="U153" s="95"/>
      <c r="V153" s="95"/>
    </row>
    <row r="154" spans="2:22" s="82" customFormat="1">
      <c r="S154" s="95"/>
      <c r="T154" s="95"/>
      <c r="U154" s="95"/>
      <c r="V154" s="95"/>
    </row>
    <row r="155" spans="2:22" s="82" customFormat="1">
      <c r="B155" s="93"/>
      <c r="P155" s="94"/>
      <c r="S155" s="95"/>
      <c r="T155" s="95"/>
      <c r="U155" s="95"/>
      <c r="V155" s="95"/>
    </row>
    <row r="156" spans="2:22" s="82" customFormat="1">
      <c r="S156" s="95"/>
      <c r="T156" s="95"/>
      <c r="U156" s="95"/>
      <c r="V156" s="95"/>
    </row>
    <row r="157" spans="2:22" s="82" customFormat="1">
      <c r="S157" s="95"/>
      <c r="T157" s="95"/>
      <c r="U157" s="95"/>
      <c r="V157" s="95"/>
    </row>
    <row r="158" spans="2:22" s="82" customFormat="1">
      <c r="B158" s="93"/>
      <c r="P158" s="94"/>
      <c r="S158" s="95"/>
      <c r="T158" s="95"/>
      <c r="U158" s="95"/>
      <c r="V158" s="95"/>
    </row>
    <row r="159" spans="2:22" s="82" customFormat="1">
      <c r="S159" s="95"/>
      <c r="T159" s="95"/>
      <c r="U159" s="95"/>
      <c r="V159" s="95"/>
    </row>
    <row r="160" spans="2:22" s="82" customFormat="1">
      <c r="S160" s="95"/>
      <c r="T160" s="95"/>
      <c r="U160" s="95"/>
      <c r="V160" s="95"/>
    </row>
    <row r="161" spans="2:22" s="82" customFormat="1">
      <c r="B161" s="93"/>
      <c r="P161" s="94"/>
      <c r="S161" s="95"/>
      <c r="T161" s="95"/>
      <c r="U161" s="95"/>
      <c r="V161" s="95"/>
    </row>
    <row r="162" spans="2:22" s="82" customFormat="1">
      <c r="S162" s="95"/>
      <c r="T162" s="95"/>
      <c r="U162" s="95"/>
      <c r="V162" s="95"/>
    </row>
    <row r="163" spans="2:22" s="82" customFormat="1">
      <c r="S163" s="95"/>
      <c r="T163" s="95"/>
      <c r="U163" s="95"/>
      <c r="V163" s="95"/>
    </row>
    <row r="164" spans="2:22" s="82" customFormat="1">
      <c r="B164" s="93"/>
      <c r="P164" s="94"/>
      <c r="S164" s="95"/>
      <c r="T164" s="95"/>
      <c r="U164" s="95"/>
      <c r="V164" s="95"/>
    </row>
    <row r="165" spans="2:22" s="82" customFormat="1">
      <c r="S165" s="95"/>
      <c r="T165" s="95"/>
      <c r="U165" s="95"/>
      <c r="V165" s="95"/>
    </row>
    <row r="166" spans="2:22" s="82" customFormat="1">
      <c r="S166" s="95"/>
      <c r="T166" s="95"/>
      <c r="U166" s="95"/>
      <c r="V166" s="95"/>
    </row>
    <row r="167" spans="2:22" s="82" customFormat="1">
      <c r="B167" s="93"/>
      <c r="P167" s="94"/>
      <c r="S167" s="95"/>
      <c r="T167" s="95"/>
      <c r="U167" s="95"/>
      <c r="V167" s="95"/>
    </row>
    <row r="168" spans="2:22" s="82" customFormat="1">
      <c r="S168" s="95"/>
      <c r="T168" s="95"/>
      <c r="U168" s="95"/>
      <c r="V168" s="95"/>
    </row>
    <row r="169" spans="2:22" s="82" customFormat="1">
      <c r="S169" s="95"/>
      <c r="T169" s="95"/>
      <c r="U169" s="95"/>
      <c r="V169" s="95"/>
    </row>
    <row r="170" spans="2:22" s="82" customFormat="1">
      <c r="B170" s="93"/>
      <c r="P170" s="94"/>
      <c r="S170" s="95"/>
      <c r="T170" s="95"/>
      <c r="U170" s="95"/>
      <c r="V170" s="95"/>
    </row>
    <row r="171" spans="2:22" s="82" customFormat="1">
      <c r="S171" s="95"/>
      <c r="T171" s="95"/>
      <c r="U171" s="95"/>
      <c r="V171" s="95"/>
    </row>
    <row r="172" spans="2:22" s="82" customFormat="1">
      <c r="S172" s="95"/>
      <c r="T172" s="95"/>
      <c r="U172" s="95"/>
      <c r="V172" s="95"/>
    </row>
    <row r="173" spans="2:22" s="82" customFormat="1">
      <c r="B173" s="93"/>
      <c r="P173" s="94"/>
      <c r="S173" s="95"/>
      <c r="T173" s="95"/>
      <c r="U173" s="95"/>
      <c r="V173" s="95"/>
    </row>
    <row r="174" spans="2:22" s="82" customFormat="1">
      <c r="S174" s="95"/>
      <c r="T174" s="95"/>
      <c r="U174" s="95"/>
      <c r="V174" s="95"/>
    </row>
    <row r="175" spans="2:22" s="82" customFormat="1">
      <c r="S175" s="95"/>
      <c r="T175" s="95"/>
      <c r="U175" s="95"/>
      <c r="V175" s="95"/>
    </row>
    <row r="176" spans="2:22" s="82" customFormat="1">
      <c r="B176" s="93"/>
      <c r="P176" s="94"/>
      <c r="S176" s="95"/>
      <c r="T176" s="95"/>
      <c r="U176" s="95"/>
      <c r="V176" s="95"/>
    </row>
    <row r="177" spans="2:22" s="82" customFormat="1">
      <c r="S177" s="95"/>
      <c r="T177" s="95"/>
      <c r="U177" s="95"/>
      <c r="V177" s="95"/>
    </row>
    <row r="178" spans="2:22" s="82" customFormat="1">
      <c r="S178" s="95"/>
      <c r="T178" s="95"/>
      <c r="U178" s="95"/>
      <c r="V178" s="95"/>
    </row>
    <row r="179" spans="2:22" s="82" customFormat="1">
      <c r="B179" s="93"/>
      <c r="P179" s="94"/>
      <c r="S179" s="95"/>
      <c r="T179" s="95"/>
      <c r="U179" s="95"/>
      <c r="V179" s="95"/>
    </row>
    <row r="180" spans="2:22" s="82" customFormat="1">
      <c r="S180" s="95"/>
      <c r="T180" s="95"/>
      <c r="U180" s="95"/>
      <c r="V180" s="95"/>
    </row>
    <row r="181" spans="2:22" s="82" customFormat="1">
      <c r="S181" s="95"/>
      <c r="T181" s="95"/>
      <c r="U181" s="95"/>
      <c r="V181" s="95"/>
    </row>
    <row r="182" spans="2:22" s="82" customFormat="1">
      <c r="B182" s="93"/>
      <c r="P182" s="94"/>
      <c r="S182" s="95"/>
      <c r="T182" s="95"/>
      <c r="U182" s="95"/>
      <c r="V182" s="95"/>
    </row>
    <row r="183" spans="2:22" s="82" customFormat="1">
      <c r="S183" s="95"/>
      <c r="T183" s="95"/>
      <c r="U183" s="95"/>
      <c r="V183" s="95"/>
    </row>
    <row r="184" spans="2:22" s="82" customFormat="1">
      <c r="S184" s="95"/>
      <c r="T184" s="95"/>
      <c r="U184" s="95"/>
      <c r="V184" s="95"/>
    </row>
    <row r="185" spans="2:22" s="82" customFormat="1">
      <c r="B185" s="93"/>
      <c r="P185" s="94"/>
      <c r="S185" s="95"/>
      <c r="T185" s="95"/>
      <c r="U185" s="95"/>
      <c r="V185" s="95"/>
    </row>
    <row r="186" spans="2:22" s="82" customFormat="1">
      <c r="S186" s="95"/>
      <c r="T186" s="95"/>
      <c r="U186" s="95"/>
      <c r="V186" s="95"/>
    </row>
    <row r="187" spans="2:22" s="82" customFormat="1">
      <c r="S187" s="95"/>
      <c r="T187" s="95"/>
      <c r="U187" s="95"/>
      <c r="V187" s="95"/>
    </row>
    <row r="188" spans="2:22" s="82" customFormat="1">
      <c r="B188" s="93"/>
      <c r="P188" s="94"/>
      <c r="S188" s="95"/>
      <c r="T188" s="95"/>
      <c r="U188" s="95"/>
      <c r="V188" s="95"/>
    </row>
    <row r="189" spans="2:22" s="82" customFormat="1">
      <c r="S189" s="95"/>
      <c r="T189" s="95"/>
      <c r="U189" s="95"/>
      <c r="V189" s="95"/>
    </row>
    <row r="190" spans="2:22" s="82" customFormat="1">
      <c r="S190" s="95"/>
      <c r="T190" s="95"/>
      <c r="U190" s="95"/>
      <c r="V190" s="95"/>
    </row>
    <row r="191" spans="2:22" s="82" customFormat="1">
      <c r="B191" s="93"/>
      <c r="P191" s="94"/>
      <c r="S191" s="95"/>
      <c r="T191" s="95"/>
      <c r="U191" s="95"/>
      <c r="V191" s="95"/>
    </row>
    <row r="192" spans="2:22" s="82" customFormat="1">
      <c r="S192" s="95"/>
      <c r="T192" s="95"/>
      <c r="U192" s="95"/>
      <c r="V192" s="95"/>
    </row>
    <row r="193" spans="2:22" s="82" customFormat="1">
      <c r="S193" s="95"/>
      <c r="T193" s="95"/>
      <c r="U193" s="95"/>
      <c r="V193" s="95"/>
    </row>
    <row r="194" spans="2:22" s="82" customFormat="1">
      <c r="B194" s="93"/>
      <c r="P194" s="94"/>
      <c r="S194" s="95"/>
      <c r="T194" s="95"/>
      <c r="U194" s="95"/>
      <c r="V194" s="95"/>
    </row>
    <row r="195" spans="2:22" s="82" customFormat="1">
      <c r="S195" s="95"/>
      <c r="T195" s="95"/>
      <c r="U195" s="95"/>
      <c r="V195" s="95"/>
    </row>
    <row r="196" spans="2:22" s="82" customFormat="1">
      <c r="S196" s="95"/>
      <c r="T196" s="95"/>
      <c r="U196" s="95"/>
      <c r="V196" s="95"/>
    </row>
    <row r="197" spans="2:22" s="82" customFormat="1">
      <c r="B197" s="93"/>
      <c r="P197" s="94"/>
      <c r="S197" s="95"/>
      <c r="T197" s="95"/>
      <c r="U197" s="95"/>
      <c r="V197" s="95"/>
    </row>
    <row r="198" spans="2:22" s="82" customFormat="1">
      <c r="S198" s="95"/>
      <c r="T198" s="95"/>
      <c r="U198" s="95"/>
      <c r="V198" s="95"/>
    </row>
    <row r="199" spans="2:22" s="82" customFormat="1">
      <c r="S199" s="95"/>
      <c r="T199" s="95"/>
      <c r="U199" s="95"/>
      <c r="V199" s="95"/>
    </row>
    <row r="200" spans="2:22" s="82" customFormat="1">
      <c r="B200" s="93"/>
      <c r="P200" s="94"/>
      <c r="S200" s="95"/>
      <c r="T200" s="95"/>
      <c r="U200" s="95"/>
      <c r="V200" s="95"/>
    </row>
    <row r="201" spans="2:22" s="82" customFormat="1">
      <c r="S201" s="95"/>
      <c r="T201" s="95"/>
      <c r="U201" s="95"/>
      <c r="V201" s="95"/>
    </row>
    <row r="202" spans="2:22" s="82" customFormat="1">
      <c r="S202" s="95"/>
      <c r="T202" s="95"/>
      <c r="U202" s="95"/>
      <c r="V202" s="95"/>
    </row>
    <row r="203" spans="2:22" s="82" customFormat="1">
      <c r="B203" s="93"/>
      <c r="P203" s="94"/>
      <c r="S203" s="95"/>
      <c r="T203" s="95"/>
      <c r="U203" s="95"/>
      <c r="V203" s="95"/>
    </row>
    <row r="204" spans="2:22" s="82" customFormat="1">
      <c r="S204" s="95"/>
      <c r="T204" s="95"/>
      <c r="U204" s="95"/>
      <c r="V204" s="95"/>
    </row>
    <row r="205" spans="2:22" s="82" customFormat="1">
      <c r="S205" s="95"/>
      <c r="T205" s="95"/>
      <c r="U205" s="95"/>
      <c r="V205" s="95"/>
    </row>
    <row r="206" spans="2:22" s="82" customFormat="1">
      <c r="B206" s="93"/>
      <c r="P206" s="94"/>
      <c r="S206" s="95"/>
      <c r="T206" s="95"/>
      <c r="U206" s="95"/>
      <c r="V206" s="95"/>
    </row>
    <row r="207" spans="2:22" s="82" customFormat="1">
      <c r="S207" s="95"/>
      <c r="T207" s="95"/>
      <c r="U207" s="95"/>
      <c r="V207" s="95"/>
    </row>
    <row r="208" spans="2:22" s="82" customFormat="1">
      <c r="S208" s="95"/>
      <c r="T208" s="95"/>
      <c r="U208" s="95"/>
      <c r="V208" s="95"/>
    </row>
    <row r="209" spans="2:22" s="82" customFormat="1">
      <c r="B209" s="93"/>
      <c r="P209" s="94"/>
      <c r="S209" s="95"/>
      <c r="T209" s="95"/>
      <c r="U209" s="95"/>
      <c r="V209" s="95"/>
    </row>
    <row r="210" spans="2:22" s="82" customFormat="1">
      <c r="S210" s="95"/>
      <c r="T210" s="95"/>
      <c r="U210" s="95"/>
      <c r="V210" s="95"/>
    </row>
    <row r="211" spans="2:22" s="82" customFormat="1">
      <c r="S211" s="95"/>
      <c r="T211" s="95"/>
      <c r="U211" s="95"/>
      <c r="V211" s="95"/>
    </row>
    <row r="212" spans="2:22" s="82" customFormat="1">
      <c r="B212" s="93"/>
      <c r="P212" s="94"/>
      <c r="S212" s="95"/>
      <c r="T212" s="95"/>
      <c r="U212" s="95"/>
      <c r="V212" s="95"/>
    </row>
    <row r="213" spans="2:22" s="82" customFormat="1">
      <c r="S213" s="95"/>
      <c r="T213" s="95"/>
      <c r="U213" s="95"/>
      <c r="V213" s="95"/>
    </row>
    <row r="214" spans="2:22" s="82" customFormat="1">
      <c r="S214" s="95"/>
      <c r="T214" s="95"/>
      <c r="U214" s="95"/>
      <c r="V214" s="95"/>
    </row>
    <row r="215" spans="2:22" s="82" customFormat="1">
      <c r="B215" s="93"/>
      <c r="P215" s="94"/>
      <c r="S215" s="95"/>
      <c r="T215" s="95"/>
      <c r="U215" s="95"/>
      <c r="V215" s="95"/>
    </row>
    <row r="216" spans="2:22" s="82" customFormat="1">
      <c r="S216" s="95"/>
      <c r="T216" s="95"/>
      <c r="U216" s="95"/>
      <c r="V216" s="95"/>
    </row>
    <row r="217" spans="2:22" s="82" customFormat="1">
      <c r="S217" s="95"/>
      <c r="T217" s="95"/>
      <c r="U217" s="95"/>
      <c r="V217" s="95"/>
    </row>
    <row r="218" spans="2:22" s="82" customFormat="1">
      <c r="B218" s="93"/>
      <c r="P218" s="94"/>
      <c r="S218" s="95"/>
      <c r="T218" s="95"/>
      <c r="U218" s="95"/>
      <c r="V218" s="95"/>
    </row>
    <row r="219" spans="2:22" s="82" customFormat="1">
      <c r="S219" s="95"/>
      <c r="T219" s="95"/>
      <c r="U219" s="95"/>
      <c r="V219" s="95"/>
    </row>
    <row r="220" spans="2:22" s="82" customFormat="1">
      <c r="S220" s="95"/>
      <c r="T220" s="95"/>
      <c r="U220" s="95"/>
      <c r="V220" s="95"/>
    </row>
    <row r="221" spans="2:22" s="82" customFormat="1">
      <c r="B221" s="93"/>
      <c r="P221" s="94"/>
      <c r="S221" s="95"/>
      <c r="T221" s="95"/>
      <c r="U221" s="95"/>
      <c r="V221" s="95"/>
    </row>
    <row r="222" spans="2:22" s="82" customFormat="1">
      <c r="S222" s="95"/>
      <c r="T222" s="95"/>
      <c r="U222" s="95"/>
      <c r="V222" s="95"/>
    </row>
    <row r="223" spans="2:22" s="82" customFormat="1">
      <c r="S223" s="95"/>
      <c r="T223" s="95"/>
      <c r="U223" s="95"/>
      <c r="V223" s="95"/>
    </row>
    <row r="224" spans="2:22" s="82" customFormat="1">
      <c r="B224" s="93"/>
      <c r="P224" s="94"/>
      <c r="S224" s="95"/>
      <c r="T224" s="95"/>
      <c r="U224" s="95"/>
      <c r="V224" s="95"/>
    </row>
    <row r="225" spans="2:22" s="82" customFormat="1">
      <c r="S225" s="95"/>
      <c r="T225" s="95"/>
      <c r="U225" s="95"/>
      <c r="V225" s="95"/>
    </row>
    <row r="226" spans="2:22" s="82" customFormat="1">
      <c r="S226" s="95"/>
      <c r="T226" s="95"/>
      <c r="U226" s="95"/>
      <c r="V226" s="95"/>
    </row>
    <row r="227" spans="2:22" s="82" customFormat="1">
      <c r="B227" s="93"/>
      <c r="P227" s="94"/>
      <c r="S227" s="95"/>
      <c r="T227" s="95"/>
      <c r="U227" s="95"/>
      <c r="V227" s="95"/>
    </row>
    <row r="228" spans="2:22" s="82" customFormat="1">
      <c r="S228" s="95"/>
      <c r="T228" s="95"/>
      <c r="U228" s="95"/>
      <c r="V228" s="95"/>
    </row>
    <row r="229" spans="2:22" s="82" customFormat="1">
      <c r="S229" s="95"/>
      <c r="T229" s="95"/>
      <c r="U229" s="95"/>
      <c r="V229" s="95"/>
    </row>
    <row r="230" spans="2:22" s="82" customFormat="1">
      <c r="B230" s="93"/>
      <c r="P230" s="94"/>
      <c r="S230" s="95"/>
      <c r="T230" s="95"/>
      <c r="U230" s="95"/>
      <c r="V230" s="95"/>
    </row>
    <row r="231" spans="2:22" s="82" customFormat="1">
      <c r="S231" s="95"/>
      <c r="T231" s="95"/>
      <c r="U231" s="95"/>
      <c r="V231" s="95"/>
    </row>
    <row r="232" spans="2:22" s="82" customFormat="1">
      <c r="S232" s="95"/>
      <c r="T232" s="95"/>
      <c r="U232" s="95"/>
      <c r="V232" s="95"/>
    </row>
    <row r="233" spans="2:22" s="82" customFormat="1">
      <c r="B233" s="93"/>
      <c r="P233" s="94"/>
      <c r="S233" s="95"/>
      <c r="T233" s="95"/>
      <c r="U233" s="95"/>
      <c r="V233" s="95"/>
    </row>
    <row r="234" spans="2:22" s="82" customFormat="1">
      <c r="S234" s="95"/>
      <c r="T234" s="95"/>
      <c r="U234" s="95"/>
      <c r="V234" s="95"/>
    </row>
    <row r="235" spans="2:22" s="82" customFormat="1">
      <c r="S235" s="95"/>
      <c r="T235" s="95"/>
      <c r="U235" s="95"/>
      <c r="V235" s="95"/>
    </row>
    <row r="236" spans="2:22" s="82" customFormat="1">
      <c r="B236" s="93"/>
      <c r="P236" s="94"/>
      <c r="S236" s="95"/>
      <c r="T236" s="95"/>
      <c r="U236" s="95"/>
      <c r="V236" s="95"/>
    </row>
    <row r="237" spans="2:22" s="82" customFormat="1">
      <c r="S237" s="95"/>
      <c r="T237" s="95"/>
      <c r="U237" s="95"/>
      <c r="V237" s="95"/>
    </row>
    <row r="238" spans="2:22" s="82" customFormat="1">
      <c r="S238" s="95"/>
      <c r="T238" s="95"/>
      <c r="U238" s="95"/>
      <c r="V238" s="95"/>
    </row>
    <row r="239" spans="2:22" s="82" customFormat="1">
      <c r="B239" s="93"/>
      <c r="P239" s="94"/>
      <c r="S239" s="95"/>
      <c r="T239" s="95"/>
      <c r="U239" s="95"/>
      <c r="V239" s="95"/>
    </row>
    <row r="240" spans="2:22" s="82" customFormat="1">
      <c r="S240" s="95"/>
      <c r="T240" s="95"/>
      <c r="U240" s="95"/>
      <c r="V240" s="95"/>
    </row>
    <row r="241" spans="2:22" s="82" customFormat="1">
      <c r="S241" s="95"/>
      <c r="T241" s="95"/>
      <c r="U241" s="95"/>
      <c r="V241" s="95"/>
    </row>
    <row r="242" spans="2:22" s="82" customFormat="1">
      <c r="B242" s="93"/>
      <c r="P242" s="94"/>
      <c r="S242" s="95"/>
      <c r="T242" s="95"/>
      <c r="U242" s="95"/>
      <c r="V242" s="95"/>
    </row>
    <row r="243" spans="2:22" s="82" customFormat="1">
      <c r="S243" s="95"/>
      <c r="T243" s="95"/>
      <c r="U243" s="95"/>
      <c r="V243" s="95"/>
    </row>
    <row r="244" spans="2:22" s="82" customFormat="1">
      <c r="S244" s="95"/>
      <c r="T244" s="95"/>
      <c r="U244" s="95"/>
      <c r="V244" s="95"/>
    </row>
    <row r="245" spans="2:22" s="82" customFormat="1">
      <c r="B245" s="93"/>
      <c r="P245" s="94"/>
      <c r="S245" s="95"/>
      <c r="T245" s="95"/>
      <c r="U245" s="95"/>
      <c r="V245" s="95"/>
    </row>
    <row r="246" spans="2:22" s="82" customFormat="1">
      <c r="S246" s="95"/>
      <c r="T246" s="95"/>
      <c r="U246" s="95"/>
      <c r="V246" s="95"/>
    </row>
    <row r="247" spans="2:22" s="82" customFormat="1">
      <c r="S247" s="95"/>
      <c r="T247" s="95"/>
      <c r="U247" s="95"/>
      <c r="V247" s="95"/>
    </row>
    <row r="248" spans="2:22" s="82" customFormat="1">
      <c r="B248" s="93"/>
      <c r="P248" s="94"/>
      <c r="S248" s="95"/>
      <c r="T248" s="95"/>
      <c r="U248" s="95"/>
      <c r="V248" s="95"/>
    </row>
    <row r="249" spans="2:22" s="82" customFormat="1">
      <c r="S249" s="95"/>
      <c r="T249" s="95"/>
      <c r="U249" s="95"/>
      <c r="V249" s="95"/>
    </row>
    <row r="250" spans="2:22" s="82" customFormat="1">
      <c r="S250" s="95"/>
      <c r="T250" s="95"/>
      <c r="U250" s="95"/>
      <c r="V250" s="95"/>
    </row>
    <row r="251" spans="2:22" s="82" customFormat="1">
      <c r="B251" s="93"/>
      <c r="P251" s="94"/>
      <c r="S251" s="95"/>
      <c r="T251" s="95"/>
      <c r="U251" s="95"/>
      <c r="V251" s="95"/>
    </row>
    <row r="252" spans="2:22" s="82" customFormat="1">
      <c r="S252" s="95"/>
      <c r="T252" s="95"/>
      <c r="U252" s="95"/>
      <c r="V252" s="95"/>
    </row>
    <row r="253" spans="2:22" s="82" customFormat="1">
      <c r="S253" s="95"/>
      <c r="T253" s="95"/>
      <c r="U253" s="95"/>
      <c r="V253" s="95"/>
    </row>
    <row r="254" spans="2:22" s="82" customFormat="1">
      <c r="B254" s="93"/>
      <c r="P254" s="94"/>
      <c r="S254" s="95"/>
      <c r="T254" s="95"/>
      <c r="U254" s="95"/>
      <c r="V254" s="95"/>
    </row>
    <row r="255" spans="2:22" s="82" customFormat="1">
      <c r="S255" s="95"/>
      <c r="T255" s="95"/>
      <c r="U255" s="95"/>
      <c r="V255" s="95"/>
    </row>
    <row r="256" spans="2:22" s="82" customFormat="1">
      <c r="S256" s="95"/>
      <c r="T256" s="95"/>
      <c r="U256" s="95"/>
      <c r="V256" s="95"/>
    </row>
    <row r="257" spans="2:22" s="82" customFormat="1">
      <c r="B257" s="93"/>
      <c r="P257" s="94"/>
      <c r="S257" s="95"/>
      <c r="T257" s="95"/>
      <c r="U257" s="95"/>
      <c r="V257" s="95"/>
    </row>
    <row r="258" spans="2:22" s="82" customFormat="1">
      <c r="S258" s="95"/>
      <c r="T258" s="95"/>
      <c r="U258" s="95"/>
      <c r="V258" s="95"/>
    </row>
    <row r="259" spans="2:22" s="82" customFormat="1">
      <c r="S259" s="95"/>
      <c r="T259" s="95"/>
      <c r="U259" s="95"/>
      <c r="V259" s="95"/>
    </row>
    <row r="260" spans="2:22" s="82" customFormat="1">
      <c r="B260" s="93"/>
      <c r="P260" s="94"/>
      <c r="S260" s="95"/>
      <c r="T260" s="95"/>
      <c r="U260" s="95"/>
      <c r="V260" s="95"/>
    </row>
    <row r="261" spans="2:22" s="82" customFormat="1">
      <c r="S261" s="95"/>
      <c r="T261" s="95"/>
      <c r="U261" s="95"/>
      <c r="V261" s="95"/>
    </row>
    <row r="262" spans="2:22" s="82" customFormat="1">
      <c r="S262" s="95"/>
      <c r="T262" s="95"/>
      <c r="U262" s="95"/>
      <c r="V262" s="95"/>
    </row>
    <row r="263" spans="2:22" s="82" customFormat="1">
      <c r="B263" s="93"/>
      <c r="P263" s="94"/>
      <c r="S263" s="95"/>
      <c r="T263" s="95"/>
      <c r="U263" s="95"/>
      <c r="V263" s="95"/>
    </row>
    <row r="264" spans="2:22" s="82" customFormat="1">
      <c r="S264" s="95"/>
      <c r="T264" s="95"/>
      <c r="U264" s="95"/>
      <c r="V264" s="95"/>
    </row>
    <row r="265" spans="2:22" s="82" customFormat="1">
      <c r="S265" s="95"/>
      <c r="T265" s="95"/>
      <c r="U265" s="95"/>
      <c r="V265" s="95"/>
    </row>
    <row r="266" spans="2:22" s="82" customFormat="1">
      <c r="B266" s="93"/>
      <c r="P266" s="94"/>
      <c r="S266" s="95"/>
      <c r="T266" s="95"/>
      <c r="U266" s="95"/>
      <c r="V266" s="95"/>
    </row>
    <row r="267" spans="2:22" s="82" customFormat="1">
      <c r="S267" s="95"/>
      <c r="T267" s="95"/>
      <c r="U267" s="95"/>
      <c r="V267" s="95"/>
    </row>
    <row r="268" spans="2:22" s="82" customFormat="1">
      <c r="S268" s="95"/>
      <c r="T268" s="95"/>
      <c r="U268" s="95"/>
      <c r="V268" s="95"/>
    </row>
    <row r="269" spans="2:22" s="82" customFormat="1">
      <c r="B269" s="93"/>
      <c r="P269" s="94"/>
      <c r="S269" s="95"/>
      <c r="T269" s="95"/>
      <c r="U269" s="95"/>
      <c r="V269" s="95"/>
    </row>
    <row r="270" spans="2:22" s="82" customFormat="1">
      <c r="S270" s="95"/>
      <c r="T270" s="95"/>
      <c r="U270" s="95"/>
      <c r="V270" s="95"/>
    </row>
    <row r="271" spans="2:22" s="82" customFormat="1">
      <c r="S271" s="95"/>
      <c r="T271" s="95"/>
      <c r="U271" s="95"/>
      <c r="V271" s="95"/>
    </row>
    <row r="272" spans="2:22" s="82" customFormat="1">
      <c r="B272" s="93"/>
      <c r="P272" s="94"/>
      <c r="S272" s="95"/>
      <c r="T272" s="95"/>
      <c r="U272" s="95"/>
      <c r="V272" s="95"/>
    </row>
    <row r="273" spans="2:22" s="82" customFormat="1">
      <c r="S273" s="95"/>
      <c r="T273" s="95"/>
      <c r="U273" s="95"/>
      <c r="V273" s="95"/>
    </row>
    <row r="274" spans="2:22" s="82" customFormat="1">
      <c r="S274" s="95"/>
      <c r="T274" s="95"/>
      <c r="U274" s="95"/>
      <c r="V274" s="95"/>
    </row>
    <row r="275" spans="2:22" s="82" customFormat="1">
      <c r="B275" s="93"/>
      <c r="P275" s="94"/>
      <c r="S275" s="95"/>
      <c r="T275" s="95"/>
      <c r="U275" s="95"/>
      <c r="V275" s="95"/>
    </row>
    <row r="276" spans="2:22" s="82" customFormat="1">
      <c r="S276" s="95"/>
      <c r="T276" s="95"/>
      <c r="U276" s="95"/>
      <c r="V276" s="95"/>
    </row>
    <row r="277" spans="2:22" s="82" customFormat="1">
      <c r="S277" s="95"/>
      <c r="T277" s="95"/>
      <c r="U277" s="95"/>
      <c r="V277" s="95"/>
    </row>
    <row r="278" spans="2:22" s="82" customFormat="1">
      <c r="B278" s="93"/>
      <c r="P278" s="94"/>
      <c r="S278" s="96"/>
      <c r="T278" s="95"/>
      <c r="U278" s="95"/>
      <c r="V278" s="95"/>
    </row>
    <row r="279" spans="2:22" s="82" customFormat="1">
      <c r="S279" s="95"/>
      <c r="T279" s="95"/>
      <c r="U279" s="95"/>
      <c r="V279" s="95"/>
    </row>
    <row r="280" spans="2:22" s="82" customFormat="1">
      <c r="S280" s="95"/>
      <c r="T280" s="95"/>
      <c r="U280" s="95"/>
      <c r="V280" s="95"/>
    </row>
    <row r="281" spans="2:22" s="82" customFormat="1">
      <c r="B281" s="93"/>
      <c r="P281" s="94"/>
      <c r="S281" s="95"/>
      <c r="T281" s="95"/>
      <c r="U281" s="95"/>
      <c r="V281" s="95"/>
    </row>
    <row r="282" spans="2:22" s="82" customFormat="1">
      <c r="S282" s="95"/>
      <c r="T282" s="95"/>
      <c r="U282" s="95"/>
      <c r="V282" s="95"/>
    </row>
    <row r="283" spans="2:22" s="82" customFormat="1">
      <c r="S283" s="95"/>
      <c r="T283" s="95"/>
      <c r="U283" s="95"/>
      <c r="V283" s="95"/>
    </row>
    <row r="284" spans="2:22" s="82" customFormat="1">
      <c r="B284" s="93"/>
      <c r="P284" s="94"/>
      <c r="S284" s="95"/>
      <c r="T284" s="95"/>
      <c r="U284" s="95"/>
      <c r="V284" s="95"/>
    </row>
    <row r="285" spans="2:22" s="82" customFormat="1">
      <c r="S285" s="95"/>
      <c r="T285" s="95"/>
      <c r="U285" s="95"/>
      <c r="V285" s="95"/>
    </row>
    <row r="286" spans="2:22" s="82" customFormat="1">
      <c r="S286" s="95"/>
      <c r="T286" s="95"/>
      <c r="U286" s="95"/>
      <c r="V286" s="95"/>
    </row>
    <row r="287" spans="2:22" s="82" customFormat="1">
      <c r="B287" s="93"/>
      <c r="P287" s="94"/>
      <c r="S287" s="95"/>
      <c r="T287" s="95"/>
      <c r="U287" s="95"/>
      <c r="V287" s="95"/>
    </row>
    <row r="288" spans="2:22" s="82" customFormat="1">
      <c r="S288" s="95"/>
      <c r="T288" s="95"/>
      <c r="U288" s="95"/>
      <c r="V288" s="95"/>
    </row>
    <row r="289" spans="2:22" s="82" customFormat="1">
      <c r="S289" s="95"/>
      <c r="T289" s="95"/>
      <c r="U289" s="95"/>
      <c r="V289" s="95"/>
    </row>
    <row r="290" spans="2:22" s="82" customFormat="1">
      <c r="B290" s="93"/>
      <c r="P290" s="94"/>
      <c r="S290" s="95"/>
      <c r="T290" s="95"/>
      <c r="U290" s="95"/>
      <c r="V290" s="95"/>
    </row>
    <row r="291" spans="2:22" s="82" customFormat="1">
      <c r="S291" s="95"/>
      <c r="T291" s="95"/>
      <c r="U291" s="95"/>
      <c r="V291" s="95"/>
    </row>
    <row r="292" spans="2:22" s="82" customFormat="1">
      <c r="S292" s="95"/>
      <c r="T292" s="95"/>
      <c r="U292" s="95"/>
      <c r="V292" s="95"/>
    </row>
    <row r="293" spans="2:22" s="82" customFormat="1">
      <c r="B293" s="93"/>
      <c r="P293" s="94"/>
      <c r="S293" s="95"/>
      <c r="T293" s="95"/>
      <c r="U293" s="95"/>
      <c r="V293" s="95"/>
    </row>
    <row r="294" spans="2:22" s="82" customFormat="1">
      <c r="S294" s="95"/>
      <c r="T294" s="95"/>
      <c r="U294" s="95"/>
      <c r="V294" s="95"/>
    </row>
    <row r="295" spans="2:22" s="82" customFormat="1">
      <c r="S295" s="95"/>
      <c r="T295" s="95"/>
      <c r="U295" s="95"/>
      <c r="V295" s="95"/>
    </row>
    <row r="296" spans="2:22" s="82" customFormat="1">
      <c r="B296" s="93"/>
      <c r="P296" s="94"/>
      <c r="S296" s="96"/>
      <c r="T296" s="95"/>
      <c r="U296" s="95"/>
      <c r="V296" s="95"/>
    </row>
    <row r="297" spans="2:22" s="82" customFormat="1">
      <c r="S297" s="95"/>
      <c r="T297" s="95"/>
      <c r="U297" s="95"/>
      <c r="V297" s="95"/>
    </row>
    <row r="298" spans="2:22" s="82" customFormat="1">
      <c r="S298" s="95"/>
      <c r="T298" s="95"/>
      <c r="U298" s="95"/>
      <c r="V298" s="95"/>
    </row>
    <row r="299" spans="2:22" s="82" customFormat="1">
      <c r="B299" s="93"/>
      <c r="P299" s="94"/>
      <c r="S299" s="95"/>
      <c r="T299" s="95"/>
      <c r="U299" s="95"/>
      <c r="V299" s="95"/>
    </row>
    <row r="300" spans="2:22" s="82" customFormat="1">
      <c r="S300" s="95"/>
      <c r="T300" s="95"/>
      <c r="U300" s="95"/>
      <c r="V300" s="95"/>
    </row>
    <row r="301" spans="2:22" s="82" customFormat="1">
      <c r="S301" s="95"/>
      <c r="T301" s="95"/>
      <c r="U301" s="95"/>
      <c r="V301" s="95"/>
    </row>
    <row r="302" spans="2:22" s="82" customFormat="1">
      <c r="B302" s="93"/>
      <c r="P302" s="94"/>
      <c r="S302" s="95"/>
      <c r="T302" s="95"/>
      <c r="U302" s="95"/>
      <c r="V302" s="95"/>
    </row>
    <row r="303" spans="2:22" s="82" customFormat="1">
      <c r="S303" s="95"/>
      <c r="T303" s="95"/>
      <c r="U303" s="95"/>
      <c r="V303" s="95"/>
    </row>
    <row r="304" spans="2:22" s="82" customFormat="1">
      <c r="S304" s="95"/>
      <c r="T304" s="95"/>
      <c r="U304" s="95"/>
      <c r="V304" s="95"/>
    </row>
    <row r="305" spans="2:22" s="82" customFormat="1">
      <c r="B305" s="93"/>
      <c r="P305" s="94"/>
      <c r="S305" s="95"/>
      <c r="T305" s="95"/>
      <c r="U305" s="95"/>
      <c r="V305" s="95"/>
    </row>
    <row r="306" spans="2:22" s="82" customFormat="1">
      <c r="S306" s="95"/>
      <c r="T306" s="95"/>
      <c r="U306" s="95"/>
      <c r="V306" s="95"/>
    </row>
    <row r="307" spans="2:22" s="82" customFormat="1">
      <c r="S307" s="95"/>
      <c r="T307" s="95"/>
      <c r="U307" s="95"/>
      <c r="V307" s="95"/>
    </row>
    <row r="308" spans="2:22" s="82" customFormat="1">
      <c r="B308" s="93"/>
      <c r="P308" s="94"/>
      <c r="S308" s="95"/>
      <c r="T308" s="95"/>
      <c r="U308" s="95"/>
      <c r="V308" s="95"/>
    </row>
    <row r="309" spans="2:22" s="82" customFormat="1">
      <c r="S309" s="95"/>
      <c r="T309" s="95"/>
      <c r="U309" s="95"/>
      <c r="V309" s="95"/>
    </row>
    <row r="310" spans="2:22" s="82" customFormat="1">
      <c r="S310" s="95"/>
      <c r="T310" s="95"/>
      <c r="U310" s="95"/>
      <c r="V310" s="95"/>
    </row>
    <row r="311" spans="2:22" s="82" customFormat="1">
      <c r="B311" s="93"/>
      <c r="P311" s="94"/>
      <c r="S311" s="95"/>
      <c r="T311" s="95"/>
      <c r="U311" s="95"/>
      <c r="V311" s="95"/>
    </row>
    <row r="312" spans="2:22" s="82" customFormat="1">
      <c r="S312" s="95"/>
      <c r="T312" s="95"/>
      <c r="U312" s="95"/>
      <c r="V312" s="95"/>
    </row>
    <row r="313" spans="2:22" s="82" customFormat="1">
      <c r="S313" s="95"/>
      <c r="T313" s="95"/>
      <c r="U313" s="95"/>
      <c r="V313" s="95"/>
    </row>
    <row r="314" spans="2:22" s="82" customFormat="1">
      <c r="B314" s="93"/>
      <c r="P314" s="94"/>
      <c r="S314" s="95"/>
      <c r="T314" s="95"/>
      <c r="U314" s="95"/>
      <c r="V314" s="95"/>
    </row>
    <row r="315" spans="2:22" s="82" customFormat="1">
      <c r="S315" s="95"/>
      <c r="T315" s="95"/>
      <c r="U315" s="95"/>
      <c r="V315" s="95"/>
    </row>
    <row r="316" spans="2:22" s="82" customFormat="1">
      <c r="S316" s="95"/>
      <c r="T316" s="95"/>
      <c r="U316" s="95"/>
      <c r="V316" s="95"/>
    </row>
    <row r="317" spans="2:22" s="82" customFormat="1">
      <c r="B317" s="93"/>
      <c r="P317" s="94"/>
      <c r="S317" s="95"/>
      <c r="T317" s="95"/>
      <c r="U317" s="95"/>
      <c r="V317" s="95"/>
    </row>
    <row r="318" spans="2:22" s="82" customFormat="1">
      <c r="S318" s="95"/>
      <c r="T318" s="95"/>
      <c r="U318" s="95"/>
      <c r="V318" s="95"/>
    </row>
    <row r="319" spans="2:22" s="82" customFormat="1">
      <c r="S319" s="95"/>
      <c r="T319" s="95"/>
      <c r="U319" s="95"/>
      <c r="V319" s="95"/>
    </row>
    <row r="320" spans="2:22" s="82" customFormat="1">
      <c r="B320" s="93"/>
      <c r="P320" s="94"/>
      <c r="S320" s="95"/>
      <c r="T320" s="95"/>
      <c r="U320" s="95"/>
      <c r="V320" s="95"/>
    </row>
    <row r="321" spans="2:22" s="82" customFormat="1">
      <c r="S321" s="95"/>
      <c r="T321" s="95"/>
      <c r="U321" s="95"/>
      <c r="V321" s="95"/>
    </row>
    <row r="322" spans="2:22" s="82" customFormat="1">
      <c r="S322" s="95"/>
      <c r="T322" s="95"/>
      <c r="U322" s="95"/>
      <c r="V322" s="95"/>
    </row>
    <row r="323" spans="2:22" s="82" customFormat="1">
      <c r="B323" s="93"/>
      <c r="P323" s="94"/>
      <c r="S323" s="95"/>
      <c r="T323" s="95"/>
      <c r="U323" s="95"/>
      <c r="V323" s="95"/>
    </row>
    <row r="324" spans="2:22" s="82" customFormat="1">
      <c r="S324" s="95"/>
      <c r="T324" s="95"/>
      <c r="U324" s="95"/>
      <c r="V324" s="95"/>
    </row>
    <row r="325" spans="2:22" s="82" customFormat="1">
      <c r="S325" s="95"/>
      <c r="T325" s="95"/>
      <c r="U325" s="95"/>
      <c r="V325" s="95"/>
    </row>
    <row r="326" spans="2:22" s="82" customFormat="1">
      <c r="B326" s="93"/>
      <c r="P326" s="94"/>
      <c r="S326" s="95"/>
      <c r="T326" s="95"/>
      <c r="U326" s="95"/>
      <c r="V326" s="95"/>
    </row>
    <row r="327" spans="2:22" s="82" customFormat="1">
      <c r="S327" s="95"/>
      <c r="T327" s="95"/>
      <c r="U327" s="95"/>
      <c r="V327" s="95"/>
    </row>
    <row r="328" spans="2:22" s="82" customFormat="1">
      <c r="S328" s="95"/>
      <c r="T328" s="95"/>
      <c r="U328" s="95"/>
      <c r="V328" s="95"/>
    </row>
    <row r="329" spans="2:22" s="82" customFormat="1">
      <c r="B329" s="93"/>
      <c r="P329" s="94"/>
      <c r="S329" s="95"/>
      <c r="T329" s="95"/>
      <c r="U329" s="95"/>
      <c r="V329" s="95"/>
    </row>
    <row r="330" spans="2:22" s="82" customFormat="1">
      <c r="S330" s="95"/>
      <c r="T330" s="95"/>
      <c r="U330" s="95"/>
      <c r="V330" s="95"/>
    </row>
    <row r="331" spans="2:22" s="82" customFormat="1">
      <c r="S331" s="95"/>
      <c r="T331" s="95"/>
      <c r="U331" s="95"/>
      <c r="V331" s="95"/>
    </row>
    <row r="332" spans="2:22" s="82" customFormat="1">
      <c r="B332" s="93"/>
      <c r="P332" s="94"/>
      <c r="S332" s="95"/>
      <c r="T332" s="95"/>
      <c r="U332" s="95"/>
      <c r="V332" s="95"/>
    </row>
    <row r="333" spans="2:22" s="82" customFormat="1">
      <c r="S333" s="95"/>
      <c r="T333" s="95"/>
      <c r="U333" s="95"/>
      <c r="V333" s="95"/>
    </row>
    <row r="334" spans="2:22" s="82" customFormat="1">
      <c r="S334" s="95"/>
      <c r="T334" s="95"/>
      <c r="U334" s="95"/>
      <c r="V334" s="95"/>
    </row>
    <row r="335" spans="2:22" s="82" customFormat="1">
      <c r="B335" s="93"/>
      <c r="P335" s="94"/>
      <c r="S335" s="95"/>
      <c r="T335" s="95"/>
      <c r="U335" s="95"/>
      <c r="V335" s="95"/>
    </row>
    <row r="336" spans="2:22" s="82" customFormat="1">
      <c r="S336" s="95"/>
      <c r="T336" s="95"/>
      <c r="U336" s="95"/>
      <c r="V336" s="95"/>
    </row>
    <row r="337" spans="2:22" s="82" customFormat="1">
      <c r="S337" s="95"/>
      <c r="T337" s="95"/>
      <c r="U337" s="95"/>
      <c r="V337" s="95"/>
    </row>
    <row r="338" spans="2:22" s="82" customFormat="1">
      <c r="B338" s="93"/>
      <c r="P338" s="94"/>
      <c r="S338" s="95"/>
      <c r="T338" s="95"/>
      <c r="U338" s="95"/>
      <c r="V338" s="95"/>
    </row>
    <row r="339" spans="2:22" s="82" customFormat="1">
      <c r="S339" s="95"/>
      <c r="T339" s="95"/>
      <c r="U339" s="95"/>
      <c r="V339" s="95"/>
    </row>
    <row r="340" spans="2:22" s="82" customFormat="1">
      <c r="S340" s="95"/>
      <c r="T340" s="95"/>
      <c r="U340" s="95"/>
      <c r="V340" s="95"/>
    </row>
    <row r="341" spans="2:22" s="82" customFormat="1">
      <c r="B341" s="93"/>
      <c r="P341" s="94"/>
      <c r="S341" s="95"/>
      <c r="T341" s="95"/>
      <c r="U341" s="95"/>
      <c r="V341" s="95"/>
    </row>
    <row r="342" spans="2:22" s="82" customFormat="1">
      <c r="S342" s="95"/>
      <c r="T342" s="95"/>
      <c r="U342" s="95"/>
      <c r="V342" s="95"/>
    </row>
    <row r="343" spans="2:22" s="82" customFormat="1">
      <c r="S343" s="95"/>
      <c r="T343" s="95"/>
      <c r="U343" s="95"/>
      <c r="V343" s="95"/>
    </row>
    <row r="344" spans="2:22" s="82" customFormat="1">
      <c r="B344" s="93"/>
      <c r="P344" s="94"/>
      <c r="S344" s="95"/>
      <c r="T344" s="95"/>
      <c r="U344" s="95"/>
      <c r="V344" s="95"/>
    </row>
    <row r="345" spans="2:22" s="82" customFormat="1">
      <c r="S345" s="95"/>
      <c r="T345" s="95"/>
      <c r="U345" s="95"/>
      <c r="V345" s="95"/>
    </row>
    <row r="346" spans="2:22" s="82" customFormat="1">
      <c r="S346" s="95"/>
      <c r="T346" s="95"/>
      <c r="U346" s="95"/>
      <c r="V346" s="95"/>
    </row>
    <row r="347" spans="2:22" s="82" customFormat="1">
      <c r="B347" s="93"/>
      <c r="P347" s="94"/>
      <c r="S347" s="95"/>
      <c r="T347" s="95"/>
      <c r="U347" s="95"/>
      <c r="V347" s="95"/>
    </row>
    <row r="348" spans="2:22" s="82" customFormat="1">
      <c r="S348" s="95"/>
      <c r="T348" s="95"/>
      <c r="U348" s="95"/>
      <c r="V348" s="95"/>
    </row>
    <row r="349" spans="2:22" s="82" customFormat="1">
      <c r="S349" s="95"/>
      <c r="T349" s="95"/>
      <c r="U349" s="95"/>
      <c r="V349" s="95"/>
    </row>
    <row r="350" spans="2:22" s="82" customFormat="1">
      <c r="B350" s="93"/>
      <c r="P350" s="94"/>
      <c r="S350" s="95"/>
      <c r="T350" s="95"/>
      <c r="U350" s="95"/>
      <c r="V350" s="95"/>
    </row>
    <row r="351" spans="2:22" s="82" customFormat="1">
      <c r="S351" s="95"/>
      <c r="T351" s="95"/>
      <c r="U351" s="95"/>
      <c r="V351" s="95"/>
    </row>
    <row r="352" spans="2:22" s="82" customFormat="1">
      <c r="S352" s="95"/>
      <c r="T352" s="95"/>
      <c r="U352" s="95"/>
      <c r="V352" s="95"/>
    </row>
    <row r="353" spans="2:22" s="82" customFormat="1">
      <c r="B353" s="93"/>
      <c r="P353" s="94"/>
      <c r="S353" s="95"/>
      <c r="T353" s="95"/>
      <c r="U353" s="95"/>
      <c r="V353" s="95"/>
    </row>
    <row r="354" spans="2:22" s="82" customFormat="1">
      <c r="S354" s="95"/>
      <c r="T354" s="95"/>
      <c r="U354" s="95"/>
      <c r="V354" s="95"/>
    </row>
    <row r="355" spans="2:22" s="82" customFormat="1">
      <c r="S355" s="95"/>
      <c r="T355" s="95"/>
      <c r="U355" s="95"/>
      <c r="V355" s="95"/>
    </row>
    <row r="356" spans="2:22" s="82" customFormat="1">
      <c r="B356" s="93"/>
      <c r="P356" s="94"/>
      <c r="S356" s="95"/>
      <c r="T356" s="95"/>
      <c r="U356" s="95"/>
      <c r="V356" s="95"/>
    </row>
    <row r="357" spans="2:22" s="82" customFormat="1">
      <c r="S357" s="95"/>
      <c r="T357" s="95"/>
      <c r="U357" s="95"/>
      <c r="V357" s="95"/>
    </row>
    <row r="358" spans="2:22" s="82" customFormat="1">
      <c r="S358" s="95"/>
      <c r="T358" s="95"/>
      <c r="U358" s="95"/>
      <c r="V358" s="95"/>
    </row>
    <row r="359" spans="2:22" s="82" customFormat="1">
      <c r="B359" s="93"/>
      <c r="P359" s="94"/>
      <c r="S359" s="95"/>
      <c r="T359" s="95"/>
      <c r="U359" s="95"/>
      <c r="V359" s="95"/>
    </row>
    <row r="360" spans="2:22" s="82" customFormat="1">
      <c r="S360" s="95"/>
      <c r="T360" s="95"/>
      <c r="U360" s="95"/>
      <c r="V360" s="95"/>
    </row>
    <row r="361" spans="2:22" s="82" customFormat="1">
      <c r="S361" s="95"/>
      <c r="T361" s="95"/>
      <c r="U361" s="95"/>
      <c r="V361" s="95"/>
    </row>
    <row r="362" spans="2:22" s="82" customFormat="1">
      <c r="B362" s="93"/>
      <c r="P362" s="94"/>
      <c r="S362" s="95"/>
      <c r="T362" s="95"/>
      <c r="U362" s="95"/>
      <c r="V362" s="95"/>
    </row>
    <row r="363" spans="2:22" s="82" customFormat="1">
      <c r="S363" s="95"/>
      <c r="T363" s="95"/>
      <c r="U363" s="95"/>
      <c r="V363" s="95"/>
    </row>
    <row r="364" spans="2:22" s="82" customFormat="1">
      <c r="S364" s="95"/>
      <c r="T364" s="95"/>
      <c r="U364" s="95"/>
      <c r="V364" s="95"/>
    </row>
    <row r="365" spans="2:22" s="82" customFormat="1">
      <c r="B365" s="93"/>
      <c r="P365" s="94"/>
      <c r="S365" s="95"/>
      <c r="T365" s="95"/>
      <c r="U365" s="95"/>
      <c r="V365" s="95"/>
    </row>
    <row r="366" spans="2:22" s="82" customFormat="1">
      <c r="S366" s="95"/>
      <c r="T366" s="95"/>
      <c r="U366" s="95"/>
      <c r="V366" s="95"/>
    </row>
    <row r="367" spans="2:22" s="82" customFormat="1">
      <c r="S367" s="95"/>
      <c r="T367" s="95"/>
      <c r="U367" s="95"/>
      <c r="V367" s="95"/>
    </row>
    <row r="368" spans="2:22" s="82" customFormat="1">
      <c r="B368" s="93"/>
      <c r="P368" s="94"/>
      <c r="S368" s="95"/>
      <c r="T368" s="95"/>
      <c r="U368" s="95"/>
      <c r="V368" s="95"/>
    </row>
    <row r="369" spans="2:22" s="82" customFormat="1">
      <c r="S369" s="95"/>
      <c r="T369" s="95"/>
      <c r="U369" s="95"/>
      <c r="V369" s="95"/>
    </row>
    <row r="370" spans="2:22" s="82" customFormat="1">
      <c r="S370" s="95"/>
      <c r="T370" s="95"/>
      <c r="U370" s="95"/>
      <c r="V370" s="95"/>
    </row>
    <row r="371" spans="2:22" s="82" customFormat="1">
      <c r="B371" s="93"/>
      <c r="P371" s="94"/>
      <c r="S371" s="95"/>
      <c r="T371" s="95"/>
      <c r="U371" s="95"/>
      <c r="V371" s="95"/>
    </row>
    <row r="372" spans="2:22" s="82" customFormat="1">
      <c r="S372" s="95"/>
      <c r="T372" s="95"/>
      <c r="U372" s="95"/>
      <c r="V372" s="95"/>
    </row>
    <row r="373" spans="2:22" s="82" customFormat="1">
      <c r="S373" s="95"/>
      <c r="T373" s="95"/>
      <c r="U373" s="95"/>
      <c r="V373" s="95"/>
    </row>
    <row r="374" spans="2:22" s="82" customFormat="1">
      <c r="B374" s="93"/>
      <c r="P374" s="94"/>
      <c r="S374" s="95"/>
      <c r="T374" s="95"/>
      <c r="U374" s="95"/>
      <c r="V374" s="95"/>
    </row>
    <row r="375" spans="2:22" s="82" customFormat="1">
      <c r="S375" s="95"/>
      <c r="T375" s="95"/>
      <c r="U375" s="95"/>
      <c r="V375" s="95"/>
    </row>
    <row r="376" spans="2:22" s="82" customFormat="1">
      <c r="S376" s="95"/>
      <c r="T376" s="95"/>
      <c r="U376" s="95"/>
      <c r="V376" s="95"/>
    </row>
    <row r="377" spans="2:22" s="82" customFormat="1">
      <c r="B377" s="93"/>
      <c r="P377" s="94"/>
      <c r="S377" s="95"/>
      <c r="T377" s="95"/>
      <c r="U377" s="95"/>
      <c r="V377" s="95"/>
    </row>
    <row r="378" spans="2:22" s="82" customFormat="1">
      <c r="S378" s="95"/>
      <c r="T378" s="95"/>
      <c r="U378" s="95"/>
      <c r="V378" s="95"/>
    </row>
    <row r="379" spans="2:22" s="82" customFormat="1">
      <c r="S379" s="95"/>
      <c r="T379" s="95"/>
      <c r="U379" s="95"/>
      <c r="V379" s="95"/>
    </row>
    <row r="380" spans="2:22" s="82" customFormat="1">
      <c r="B380" s="93"/>
      <c r="P380" s="94"/>
      <c r="S380" s="95"/>
      <c r="T380" s="95"/>
      <c r="U380" s="95"/>
      <c r="V380" s="95"/>
    </row>
    <row r="381" spans="2:22" s="82" customFormat="1">
      <c r="S381" s="95"/>
      <c r="T381" s="95"/>
      <c r="U381" s="95"/>
      <c r="V381" s="95"/>
    </row>
    <row r="382" spans="2:22" s="82" customFormat="1">
      <c r="S382" s="95"/>
      <c r="T382" s="95"/>
      <c r="U382" s="95"/>
      <c r="V382" s="95"/>
    </row>
    <row r="383" spans="2:22" s="82" customFormat="1">
      <c r="B383" s="93"/>
      <c r="P383" s="94"/>
      <c r="S383" s="95"/>
      <c r="T383" s="95"/>
      <c r="U383" s="95"/>
      <c r="V383" s="95"/>
    </row>
    <row r="384" spans="2:22" s="82" customFormat="1">
      <c r="S384" s="95"/>
      <c r="T384" s="95"/>
      <c r="U384" s="95"/>
      <c r="V384" s="95"/>
    </row>
    <row r="385" spans="2:22" s="82" customFormat="1">
      <c r="S385" s="95"/>
      <c r="T385" s="95"/>
      <c r="U385" s="95"/>
      <c r="V385" s="95"/>
    </row>
    <row r="386" spans="2:22" s="82" customFormat="1">
      <c r="B386" s="93"/>
      <c r="P386" s="94"/>
      <c r="S386" s="95"/>
      <c r="T386" s="95"/>
      <c r="U386" s="95"/>
      <c r="V386" s="95"/>
    </row>
    <row r="387" spans="2:22" s="82" customFormat="1">
      <c r="S387" s="95"/>
      <c r="T387" s="95"/>
      <c r="U387" s="95"/>
      <c r="V387" s="95"/>
    </row>
    <row r="388" spans="2:22" s="82" customFormat="1">
      <c r="S388" s="95"/>
      <c r="T388" s="95"/>
      <c r="U388" s="95"/>
      <c r="V388" s="95"/>
    </row>
    <row r="389" spans="2:22" s="82" customFormat="1">
      <c r="B389" s="93"/>
      <c r="P389" s="94"/>
      <c r="S389" s="95"/>
      <c r="T389" s="95"/>
      <c r="U389" s="95"/>
      <c r="V389" s="95"/>
    </row>
    <row r="390" spans="2:22" s="82" customFormat="1">
      <c r="S390" s="95"/>
      <c r="T390" s="95"/>
      <c r="U390" s="95"/>
      <c r="V390" s="95"/>
    </row>
    <row r="391" spans="2:22" s="82" customFormat="1">
      <c r="S391" s="95"/>
      <c r="T391" s="95"/>
      <c r="U391" s="95"/>
      <c r="V391" s="95"/>
    </row>
    <row r="392" spans="2:22" s="82" customFormat="1">
      <c r="B392" s="93"/>
      <c r="P392" s="94"/>
      <c r="S392" s="95"/>
      <c r="T392" s="95"/>
      <c r="U392" s="95"/>
      <c r="V392" s="95"/>
    </row>
    <row r="393" spans="2:22" s="82" customFormat="1">
      <c r="S393" s="95"/>
      <c r="T393" s="95"/>
      <c r="U393" s="95"/>
      <c r="V393" s="95"/>
    </row>
    <row r="394" spans="2:22" s="82" customFormat="1">
      <c r="S394" s="95"/>
      <c r="T394" s="95"/>
      <c r="U394" s="95"/>
      <c r="V394" s="95"/>
    </row>
    <row r="395" spans="2:22" s="82" customFormat="1">
      <c r="B395" s="93"/>
      <c r="P395" s="94"/>
      <c r="S395" s="95"/>
      <c r="T395" s="95"/>
      <c r="U395" s="95"/>
      <c r="V395" s="95"/>
    </row>
    <row r="396" spans="2:22" s="82" customFormat="1">
      <c r="S396" s="95"/>
      <c r="T396" s="95"/>
      <c r="U396" s="95"/>
      <c r="V396" s="95"/>
    </row>
    <row r="397" spans="2:22" s="82" customFormat="1">
      <c r="S397" s="95"/>
      <c r="T397" s="95"/>
      <c r="U397" s="95"/>
      <c r="V397" s="95"/>
    </row>
    <row r="398" spans="2:22" s="82" customFormat="1">
      <c r="B398" s="93"/>
      <c r="P398" s="94"/>
      <c r="S398" s="95"/>
      <c r="T398" s="95"/>
      <c r="U398" s="95"/>
      <c r="V398" s="95"/>
    </row>
    <row r="399" spans="2:22" s="82" customFormat="1">
      <c r="S399" s="95"/>
      <c r="T399" s="95"/>
      <c r="U399" s="95"/>
      <c r="V399" s="95"/>
    </row>
    <row r="400" spans="2:22" s="82" customFormat="1">
      <c r="S400" s="95"/>
      <c r="T400" s="95"/>
      <c r="U400" s="95"/>
      <c r="V400" s="95"/>
    </row>
    <row r="401" spans="2:22" s="82" customFormat="1">
      <c r="B401" s="93"/>
      <c r="P401" s="94"/>
      <c r="S401" s="95"/>
      <c r="T401" s="95"/>
      <c r="U401" s="95"/>
      <c r="V401" s="95"/>
    </row>
    <row r="402" spans="2:22" s="82" customFormat="1">
      <c r="S402" s="95"/>
      <c r="T402" s="95"/>
      <c r="U402" s="95"/>
      <c r="V402" s="95"/>
    </row>
    <row r="403" spans="2:22" s="82" customFormat="1">
      <c r="S403" s="95"/>
      <c r="T403" s="95"/>
      <c r="U403" s="95"/>
      <c r="V403" s="95"/>
    </row>
    <row r="404" spans="2:22" s="82" customFormat="1">
      <c r="B404" s="93"/>
      <c r="P404" s="94"/>
      <c r="S404" s="95"/>
      <c r="T404" s="95"/>
      <c r="U404" s="95"/>
      <c r="V404" s="95"/>
    </row>
    <row r="405" spans="2:22" s="82" customFormat="1">
      <c r="S405" s="95"/>
      <c r="T405" s="95"/>
      <c r="U405" s="95"/>
      <c r="V405" s="95"/>
    </row>
    <row r="406" spans="2:22" s="82" customFormat="1">
      <c r="S406" s="95"/>
      <c r="T406" s="95"/>
      <c r="U406" s="95"/>
      <c r="V406" s="95"/>
    </row>
    <row r="407" spans="2:22" s="82" customFormat="1">
      <c r="B407" s="93"/>
      <c r="P407" s="94"/>
      <c r="S407" s="95"/>
      <c r="T407" s="95"/>
      <c r="U407" s="95"/>
      <c r="V407" s="95"/>
    </row>
    <row r="408" spans="2:22" s="82" customFormat="1">
      <c r="S408" s="95"/>
      <c r="T408" s="95"/>
      <c r="U408" s="95"/>
      <c r="V408" s="95"/>
    </row>
    <row r="409" spans="2:22" s="82" customFormat="1">
      <c r="S409" s="95"/>
      <c r="T409" s="95"/>
      <c r="U409" s="95"/>
      <c r="V409" s="95"/>
    </row>
    <row r="410" spans="2:22" s="82" customFormat="1">
      <c r="B410" s="93"/>
      <c r="P410" s="94"/>
      <c r="S410" s="95"/>
      <c r="T410" s="95"/>
      <c r="U410" s="95"/>
      <c r="V410" s="95"/>
    </row>
    <row r="411" spans="2:22" s="82" customFormat="1">
      <c r="S411" s="95"/>
      <c r="T411" s="95"/>
      <c r="U411" s="95"/>
      <c r="V411" s="95"/>
    </row>
    <row r="412" spans="2:22" s="82" customFormat="1">
      <c r="S412" s="95"/>
      <c r="T412" s="95"/>
      <c r="U412" s="95"/>
      <c r="V412" s="95"/>
    </row>
    <row r="413" spans="2:22" s="82" customFormat="1">
      <c r="B413" s="93"/>
      <c r="P413" s="94"/>
      <c r="S413" s="95"/>
      <c r="T413" s="95"/>
      <c r="U413" s="95"/>
      <c r="V413" s="95"/>
    </row>
    <row r="414" spans="2:22" s="82" customFormat="1">
      <c r="S414" s="95"/>
      <c r="T414" s="95"/>
      <c r="U414" s="95"/>
      <c r="V414" s="95"/>
    </row>
    <row r="415" spans="2:22" s="82" customFormat="1">
      <c r="S415" s="95"/>
      <c r="T415" s="95"/>
      <c r="U415" s="95"/>
      <c r="V415" s="95"/>
    </row>
    <row r="416" spans="2:22" s="82" customFormat="1">
      <c r="B416" s="93"/>
      <c r="P416" s="94"/>
      <c r="S416" s="95"/>
      <c r="T416" s="95"/>
      <c r="U416" s="95"/>
      <c r="V416" s="95"/>
    </row>
    <row r="417" spans="2:22" s="82" customFormat="1">
      <c r="S417" s="95"/>
      <c r="T417" s="95"/>
      <c r="U417" s="95"/>
      <c r="V417" s="95"/>
    </row>
    <row r="418" spans="2:22" s="82" customFormat="1">
      <c r="S418" s="95"/>
      <c r="T418" s="95"/>
      <c r="U418" s="95"/>
      <c r="V418" s="95"/>
    </row>
    <row r="419" spans="2:22" s="82" customFormat="1">
      <c r="B419" s="93"/>
      <c r="P419" s="94"/>
      <c r="S419" s="95"/>
      <c r="T419" s="95"/>
      <c r="U419" s="95"/>
      <c r="V419" s="95"/>
    </row>
    <row r="420" spans="2:22" s="82" customFormat="1">
      <c r="S420" s="95"/>
      <c r="T420" s="95"/>
      <c r="U420" s="95"/>
      <c r="V420" s="95"/>
    </row>
    <row r="421" spans="2:22" s="82" customFormat="1">
      <c r="S421" s="95"/>
      <c r="T421" s="95"/>
      <c r="U421" s="95"/>
      <c r="V421" s="95"/>
    </row>
    <row r="422" spans="2:22" s="82" customFormat="1">
      <c r="B422" s="93"/>
      <c r="P422" s="94"/>
      <c r="S422" s="95"/>
      <c r="T422" s="95"/>
      <c r="U422" s="95"/>
      <c r="V422" s="95"/>
    </row>
    <row r="423" spans="2:22" s="82" customFormat="1">
      <c r="S423" s="95"/>
      <c r="T423" s="95"/>
      <c r="U423" s="95"/>
      <c r="V423" s="95"/>
    </row>
    <row r="424" spans="2:22" s="82" customFormat="1">
      <c r="S424" s="95"/>
      <c r="T424" s="95"/>
      <c r="U424" s="95"/>
      <c r="V424" s="95"/>
    </row>
    <row r="425" spans="2:22" s="82" customFormat="1">
      <c r="B425" s="93"/>
      <c r="P425" s="94"/>
      <c r="S425" s="95"/>
      <c r="T425" s="95"/>
      <c r="U425" s="95"/>
      <c r="V425" s="95"/>
    </row>
    <row r="426" spans="2:22" s="82" customFormat="1">
      <c r="S426" s="95"/>
      <c r="T426" s="95"/>
      <c r="U426" s="95"/>
      <c r="V426" s="95"/>
    </row>
    <row r="427" spans="2:22" s="82" customFormat="1">
      <c r="S427" s="95"/>
      <c r="T427" s="95"/>
      <c r="U427" s="95"/>
      <c r="V427" s="95"/>
    </row>
    <row r="428" spans="2:22" s="82" customFormat="1">
      <c r="B428" s="93"/>
      <c r="P428" s="94"/>
      <c r="S428" s="95"/>
      <c r="T428" s="95"/>
      <c r="U428" s="95"/>
      <c r="V428" s="95"/>
    </row>
    <row r="429" spans="2:22" s="82" customFormat="1">
      <c r="S429" s="95"/>
      <c r="T429" s="95"/>
      <c r="U429" s="95"/>
      <c r="V429" s="95"/>
    </row>
    <row r="430" spans="2:22" s="82" customFormat="1">
      <c r="S430" s="95"/>
      <c r="T430" s="95"/>
      <c r="U430" s="95"/>
      <c r="V430" s="95"/>
    </row>
    <row r="431" spans="2:22" s="82" customFormat="1">
      <c r="B431" s="93"/>
      <c r="P431" s="94"/>
      <c r="S431" s="95"/>
      <c r="T431" s="95"/>
      <c r="U431" s="95"/>
      <c r="V431" s="95"/>
    </row>
    <row r="432" spans="2:22" s="82" customFormat="1">
      <c r="S432" s="95"/>
      <c r="T432" s="95"/>
      <c r="U432" s="95"/>
      <c r="V432" s="95"/>
    </row>
    <row r="433" spans="2:22" s="82" customFormat="1">
      <c r="S433" s="95"/>
      <c r="T433" s="95"/>
      <c r="U433" s="95"/>
      <c r="V433" s="95"/>
    </row>
    <row r="434" spans="2:22" s="82" customFormat="1">
      <c r="B434" s="93"/>
      <c r="P434" s="94"/>
      <c r="S434" s="95"/>
      <c r="T434" s="95"/>
      <c r="U434" s="95"/>
      <c r="V434" s="95"/>
    </row>
    <row r="435" spans="2:22" s="82" customFormat="1">
      <c r="S435" s="95"/>
      <c r="T435" s="95"/>
      <c r="U435" s="95"/>
      <c r="V435" s="95"/>
    </row>
    <row r="436" spans="2:22" s="82" customFormat="1">
      <c r="S436" s="95"/>
      <c r="T436" s="95"/>
      <c r="U436" s="95"/>
      <c r="V436" s="95"/>
    </row>
    <row r="437" spans="2:22" s="82" customFormat="1">
      <c r="B437" s="93"/>
      <c r="P437" s="94"/>
      <c r="S437" s="95"/>
      <c r="T437" s="95"/>
      <c r="U437" s="95"/>
      <c r="V437" s="95"/>
    </row>
    <row r="438" spans="2:22" s="82" customFormat="1">
      <c r="S438" s="95"/>
      <c r="T438" s="95"/>
      <c r="U438" s="95"/>
      <c r="V438" s="95"/>
    </row>
    <row r="439" spans="2:22" s="82" customFormat="1">
      <c r="S439" s="95"/>
      <c r="T439" s="95"/>
      <c r="U439" s="95"/>
      <c r="V439" s="95"/>
    </row>
    <row r="440" spans="2:22" s="82" customFormat="1">
      <c r="B440" s="93"/>
      <c r="P440" s="94"/>
      <c r="S440" s="95"/>
      <c r="T440" s="95"/>
      <c r="U440" s="95"/>
      <c r="V440" s="95"/>
    </row>
    <row r="441" spans="2:22" s="82" customFormat="1">
      <c r="S441" s="95"/>
      <c r="T441" s="95"/>
      <c r="U441" s="95"/>
      <c r="V441" s="95"/>
    </row>
    <row r="442" spans="2:22" s="82" customFormat="1">
      <c r="S442" s="95"/>
      <c r="T442" s="95"/>
      <c r="U442" s="95"/>
      <c r="V442" s="95"/>
    </row>
    <row r="443" spans="2:22" s="82" customFormat="1">
      <c r="B443" s="93"/>
      <c r="P443" s="94"/>
      <c r="S443" s="95"/>
      <c r="T443" s="95"/>
      <c r="U443" s="95"/>
      <c r="V443" s="95"/>
    </row>
    <row r="444" spans="2:22" s="82" customFormat="1">
      <c r="S444" s="95"/>
      <c r="T444" s="95"/>
      <c r="U444" s="95"/>
      <c r="V444" s="95"/>
    </row>
    <row r="445" spans="2:22" s="82" customFormat="1">
      <c r="S445" s="95"/>
      <c r="T445" s="95"/>
      <c r="U445" s="95"/>
      <c r="V445" s="95"/>
    </row>
    <row r="446" spans="2:22" s="82" customFormat="1">
      <c r="B446" s="93"/>
      <c r="P446" s="94"/>
      <c r="S446" s="95"/>
      <c r="T446" s="95"/>
      <c r="U446" s="95"/>
      <c r="V446" s="95"/>
    </row>
    <row r="447" spans="2:22" s="82" customFormat="1">
      <c r="S447" s="95"/>
      <c r="T447" s="95"/>
      <c r="U447" s="95"/>
      <c r="V447" s="95"/>
    </row>
    <row r="448" spans="2:22" s="82" customFormat="1">
      <c r="S448" s="95"/>
      <c r="T448" s="95"/>
      <c r="U448" s="95"/>
      <c r="V448" s="95"/>
    </row>
    <row r="449" spans="2:22" s="82" customFormat="1">
      <c r="B449" s="93"/>
      <c r="P449" s="94"/>
      <c r="S449" s="95"/>
      <c r="T449" s="95"/>
      <c r="U449" s="95"/>
      <c r="V449" s="95"/>
    </row>
    <row r="450" spans="2:22" s="82" customFormat="1">
      <c r="S450" s="95"/>
      <c r="T450" s="95"/>
      <c r="U450" s="95"/>
      <c r="V450" s="95"/>
    </row>
    <row r="451" spans="2:22" s="82" customFormat="1">
      <c r="S451" s="95"/>
      <c r="T451" s="95"/>
      <c r="U451" s="95"/>
      <c r="V451" s="95"/>
    </row>
    <row r="452" spans="2:22" s="82" customFormat="1">
      <c r="B452" s="93"/>
      <c r="P452" s="94"/>
      <c r="S452" s="95"/>
      <c r="T452" s="95"/>
      <c r="U452" s="95"/>
      <c r="V452" s="95"/>
    </row>
    <row r="453" spans="2:22" s="82" customFormat="1">
      <c r="S453" s="95"/>
      <c r="T453" s="95"/>
      <c r="U453" s="95"/>
      <c r="V453" s="95"/>
    </row>
    <row r="454" spans="2:22" s="82" customFormat="1">
      <c r="S454" s="95"/>
      <c r="T454" s="95"/>
      <c r="U454" s="95"/>
      <c r="V454" s="95"/>
    </row>
    <row r="455" spans="2:22" s="82" customFormat="1">
      <c r="B455" s="93"/>
      <c r="P455" s="94"/>
      <c r="S455" s="95"/>
      <c r="T455" s="95"/>
      <c r="U455" s="95"/>
      <c r="V455" s="95"/>
    </row>
    <row r="456" spans="2:22" s="82" customFormat="1">
      <c r="S456" s="95"/>
      <c r="T456" s="95"/>
      <c r="U456" s="95"/>
      <c r="V456" s="95"/>
    </row>
    <row r="457" spans="2:22" s="82" customFormat="1">
      <c r="S457" s="95"/>
      <c r="T457" s="95"/>
      <c r="U457" s="95"/>
      <c r="V457" s="95"/>
    </row>
    <row r="458" spans="2:22" s="82" customFormat="1">
      <c r="B458" s="93"/>
      <c r="P458" s="94"/>
      <c r="S458" s="95"/>
      <c r="T458" s="95"/>
      <c r="U458" s="95"/>
      <c r="V458" s="95"/>
    </row>
    <row r="459" spans="2:22" s="82" customFormat="1">
      <c r="S459" s="95"/>
      <c r="T459" s="95"/>
      <c r="U459" s="95"/>
      <c r="V459" s="95"/>
    </row>
    <row r="460" spans="2:22" s="82" customFormat="1">
      <c r="S460" s="95"/>
      <c r="T460" s="95"/>
      <c r="U460" s="95"/>
      <c r="V460" s="95"/>
    </row>
    <row r="461" spans="2:22" s="82" customFormat="1">
      <c r="B461" s="93"/>
      <c r="P461" s="94"/>
      <c r="S461" s="95"/>
      <c r="T461" s="95"/>
      <c r="U461" s="95"/>
      <c r="V461" s="95"/>
    </row>
    <row r="462" spans="2:22" s="82" customFormat="1">
      <c r="S462" s="95"/>
      <c r="T462" s="95"/>
      <c r="U462" s="95"/>
      <c r="V462" s="95"/>
    </row>
    <row r="463" spans="2:22" s="82" customFormat="1">
      <c r="S463" s="95"/>
      <c r="T463" s="95"/>
      <c r="U463" s="95"/>
      <c r="V463" s="95"/>
    </row>
    <row r="464" spans="2:22" s="82" customFormat="1">
      <c r="B464" s="93"/>
      <c r="P464" s="94"/>
      <c r="S464" s="95"/>
      <c r="T464" s="95"/>
      <c r="U464" s="95"/>
      <c r="V464" s="95"/>
    </row>
    <row r="465" spans="2:22" s="82" customFormat="1">
      <c r="S465" s="95"/>
      <c r="T465" s="95"/>
      <c r="U465" s="95"/>
      <c r="V465" s="95"/>
    </row>
    <row r="466" spans="2:22" s="82" customFormat="1">
      <c r="S466" s="95"/>
      <c r="T466" s="95"/>
      <c r="U466" s="95"/>
      <c r="V466" s="95"/>
    </row>
    <row r="467" spans="2:22" s="82" customFormat="1">
      <c r="B467" s="93"/>
      <c r="P467" s="94"/>
      <c r="S467" s="95"/>
      <c r="T467" s="95"/>
      <c r="U467" s="95"/>
      <c r="V467" s="95"/>
    </row>
    <row r="468" spans="2:22" s="82" customFormat="1">
      <c r="S468" s="95"/>
      <c r="T468" s="95"/>
      <c r="U468" s="95"/>
      <c r="V468" s="95"/>
    </row>
    <row r="469" spans="2:22" s="82" customFormat="1">
      <c r="S469" s="95"/>
      <c r="T469" s="95"/>
      <c r="U469" s="95"/>
      <c r="V469" s="95"/>
    </row>
    <row r="470" spans="2:22" s="82" customFormat="1">
      <c r="B470" s="93"/>
      <c r="P470" s="94"/>
      <c r="S470" s="95"/>
      <c r="T470" s="95"/>
      <c r="U470" s="95"/>
      <c r="V470" s="95"/>
    </row>
    <row r="471" spans="2:22" s="82" customFormat="1">
      <c r="S471" s="95"/>
      <c r="T471" s="95"/>
      <c r="U471" s="95"/>
      <c r="V471" s="95"/>
    </row>
    <row r="472" spans="2:22" s="82" customFormat="1">
      <c r="S472" s="95"/>
      <c r="T472" s="95"/>
      <c r="U472" s="95"/>
      <c r="V472" s="95"/>
    </row>
    <row r="473" spans="2:22" s="82" customFormat="1">
      <c r="B473" s="93"/>
      <c r="P473" s="94"/>
      <c r="S473" s="95"/>
      <c r="T473" s="95"/>
      <c r="U473" s="95"/>
      <c r="V473" s="95"/>
    </row>
    <row r="474" spans="2:22" s="82" customFormat="1">
      <c r="S474" s="95"/>
      <c r="T474" s="95"/>
      <c r="U474" s="95"/>
      <c r="V474" s="95"/>
    </row>
    <row r="475" spans="2:22" s="82" customFormat="1">
      <c r="S475" s="95"/>
      <c r="T475" s="95"/>
      <c r="U475" s="95"/>
      <c r="V475" s="95"/>
    </row>
    <row r="476" spans="2:22" s="82" customFormat="1">
      <c r="B476" s="93"/>
      <c r="P476" s="94"/>
      <c r="S476" s="95"/>
      <c r="T476" s="95"/>
      <c r="U476" s="95"/>
      <c r="V476" s="95"/>
    </row>
    <row r="477" spans="2:22" s="82" customFormat="1">
      <c r="S477" s="95"/>
      <c r="T477" s="95"/>
      <c r="U477" s="95"/>
      <c r="V477" s="95"/>
    </row>
    <row r="478" spans="2:22" s="82" customFormat="1">
      <c r="S478" s="95"/>
      <c r="T478" s="95"/>
      <c r="U478" s="95"/>
      <c r="V478" s="95"/>
    </row>
    <row r="479" spans="2:22" s="82" customFormat="1">
      <c r="B479" s="93"/>
      <c r="P479" s="94"/>
      <c r="S479" s="95"/>
      <c r="T479" s="95"/>
      <c r="U479" s="95"/>
      <c r="V479" s="95"/>
    </row>
    <row r="480" spans="2:22" s="82" customFormat="1">
      <c r="S480" s="95"/>
      <c r="T480" s="95"/>
      <c r="U480" s="95"/>
      <c r="V480" s="95"/>
    </row>
    <row r="481" spans="2:22" s="82" customFormat="1">
      <c r="S481" s="95"/>
      <c r="T481" s="95"/>
      <c r="U481" s="95"/>
      <c r="V481" s="95"/>
    </row>
    <row r="482" spans="2:22" s="82" customFormat="1">
      <c r="B482" s="93"/>
      <c r="P482" s="94"/>
      <c r="S482" s="95"/>
      <c r="T482" s="95"/>
      <c r="U482" s="95"/>
      <c r="V482" s="95"/>
    </row>
    <row r="483" spans="2:22" s="82" customFormat="1">
      <c r="S483" s="95"/>
      <c r="T483" s="95"/>
      <c r="U483" s="95"/>
      <c r="V483" s="95"/>
    </row>
    <row r="484" spans="2:22" s="82" customFormat="1">
      <c r="S484" s="95"/>
      <c r="T484" s="95"/>
      <c r="U484" s="95"/>
      <c r="V484" s="95"/>
    </row>
    <row r="485" spans="2:22" s="82" customFormat="1">
      <c r="B485" s="93"/>
      <c r="P485" s="94"/>
      <c r="S485" s="95"/>
      <c r="T485" s="95"/>
      <c r="U485" s="95"/>
      <c r="V485" s="95"/>
    </row>
    <row r="486" spans="2:22" s="82" customFormat="1">
      <c r="S486" s="95"/>
      <c r="T486" s="95"/>
      <c r="U486" s="95"/>
      <c r="V486" s="95"/>
    </row>
    <row r="487" spans="2:22" s="82" customFormat="1">
      <c r="S487" s="95"/>
      <c r="T487" s="95"/>
      <c r="U487" s="95"/>
      <c r="V487" s="95"/>
    </row>
    <row r="488" spans="2:22" s="82" customFormat="1">
      <c r="B488" s="93"/>
      <c r="P488" s="94"/>
      <c r="S488" s="95"/>
      <c r="T488" s="95"/>
      <c r="U488" s="95"/>
      <c r="V488" s="95"/>
    </row>
    <row r="489" spans="2:22" s="82" customFormat="1">
      <c r="S489" s="95"/>
      <c r="T489" s="95"/>
      <c r="U489" s="95"/>
      <c r="V489" s="95"/>
    </row>
    <row r="490" spans="2:22" s="82" customFormat="1">
      <c r="S490" s="95"/>
      <c r="T490" s="95"/>
      <c r="U490" s="95"/>
      <c r="V490" s="95"/>
    </row>
    <row r="491" spans="2:22" s="82" customFormat="1">
      <c r="B491" s="93"/>
      <c r="P491" s="94"/>
      <c r="S491" s="95"/>
      <c r="T491" s="95"/>
      <c r="U491" s="95"/>
      <c r="V491" s="95"/>
    </row>
    <row r="492" spans="2:22" s="82" customFormat="1">
      <c r="S492" s="95"/>
      <c r="T492" s="95"/>
      <c r="U492" s="95"/>
      <c r="V492" s="95"/>
    </row>
    <row r="493" spans="2:22" s="82" customFormat="1">
      <c r="S493" s="95"/>
      <c r="T493" s="95"/>
      <c r="U493" s="95"/>
      <c r="V493" s="95"/>
    </row>
    <row r="494" spans="2:22" s="82" customFormat="1">
      <c r="B494" s="93"/>
      <c r="P494" s="94"/>
      <c r="S494" s="95"/>
      <c r="T494" s="95"/>
      <c r="U494" s="95"/>
      <c r="V494" s="95"/>
    </row>
    <row r="495" spans="2:22" s="82" customFormat="1">
      <c r="S495" s="95"/>
      <c r="T495" s="95"/>
      <c r="U495" s="95"/>
      <c r="V495" s="95"/>
    </row>
    <row r="496" spans="2:22" s="82" customFormat="1">
      <c r="S496" s="95"/>
      <c r="T496" s="95"/>
      <c r="U496" s="95"/>
      <c r="V496" s="95"/>
    </row>
    <row r="497" spans="2:22" s="82" customFormat="1">
      <c r="B497" s="93"/>
      <c r="P497" s="94"/>
      <c r="S497" s="95"/>
      <c r="T497" s="95"/>
      <c r="U497" s="95"/>
      <c r="V497" s="95"/>
    </row>
    <row r="498" spans="2:22" s="82" customFormat="1">
      <c r="S498" s="95"/>
      <c r="T498" s="95"/>
      <c r="U498" s="95"/>
      <c r="V498" s="95"/>
    </row>
    <row r="499" spans="2:22" s="82" customFormat="1">
      <c r="S499" s="95"/>
      <c r="T499" s="95"/>
      <c r="U499" s="95"/>
      <c r="V499" s="95"/>
    </row>
    <row r="500" spans="2:22" s="82" customFormat="1">
      <c r="B500" s="93"/>
      <c r="P500" s="94"/>
      <c r="S500" s="95"/>
      <c r="T500" s="95"/>
      <c r="U500" s="95"/>
      <c r="V500" s="95"/>
    </row>
    <row r="501" spans="2:22" s="82" customFormat="1">
      <c r="S501" s="95"/>
      <c r="T501" s="95"/>
      <c r="U501" s="95"/>
      <c r="V501" s="95"/>
    </row>
    <row r="502" spans="2:22" s="82" customFormat="1">
      <c r="S502" s="95"/>
      <c r="T502" s="95"/>
      <c r="U502" s="95"/>
      <c r="V502" s="95"/>
    </row>
    <row r="503" spans="2:22" s="82" customFormat="1">
      <c r="B503" s="93"/>
      <c r="P503" s="94"/>
      <c r="S503" s="95"/>
      <c r="T503" s="95"/>
      <c r="U503" s="95"/>
      <c r="V503" s="95"/>
    </row>
    <row r="504" spans="2:22" s="82" customFormat="1">
      <c r="S504" s="95"/>
      <c r="T504" s="95"/>
      <c r="U504" s="95"/>
      <c r="V504" s="95"/>
    </row>
    <row r="505" spans="2:22" s="82" customFormat="1">
      <c r="S505" s="95"/>
      <c r="T505" s="95"/>
      <c r="U505" s="95"/>
      <c r="V505" s="95"/>
    </row>
    <row r="506" spans="2:22" s="82" customFormat="1">
      <c r="B506" s="93"/>
      <c r="P506" s="94"/>
      <c r="S506" s="95"/>
      <c r="T506" s="95"/>
      <c r="U506" s="95"/>
      <c r="V506" s="95"/>
    </row>
    <row r="507" spans="2:22" s="82" customFormat="1">
      <c r="S507" s="95"/>
      <c r="T507" s="95"/>
      <c r="U507" s="95"/>
      <c r="V507" s="95"/>
    </row>
    <row r="508" spans="2:22" s="82" customFormat="1">
      <c r="S508" s="95"/>
      <c r="T508" s="95"/>
      <c r="U508" s="95"/>
      <c r="V508" s="95"/>
    </row>
    <row r="509" spans="2:22" s="82" customFormat="1">
      <c r="B509" s="93"/>
      <c r="P509" s="94"/>
      <c r="S509" s="95"/>
      <c r="T509" s="95"/>
      <c r="U509" s="95"/>
      <c r="V509" s="95"/>
    </row>
    <row r="510" spans="2:22" s="82" customFormat="1">
      <c r="S510" s="95"/>
      <c r="T510" s="95"/>
      <c r="U510" s="95"/>
      <c r="V510" s="95"/>
    </row>
    <row r="511" spans="2:22" s="82" customFormat="1">
      <c r="S511" s="95"/>
      <c r="T511" s="95"/>
      <c r="U511" s="95"/>
      <c r="V511" s="95"/>
    </row>
    <row r="512" spans="2:22" s="82" customFormat="1">
      <c r="B512" s="93"/>
      <c r="P512" s="94"/>
      <c r="S512" s="95"/>
      <c r="T512" s="95"/>
      <c r="U512" s="95"/>
      <c r="V512" s="95"/>
    </row>
    <row r="513" spans="2:22" s="82" customFormat="1">
      <c r="S513" s="95"/>
      <c r="T513" s="95"/>
      <c r="U513" s="95"/>
      <c r="V513" s="95"/>
    </row>
    <row r="514" spans="2:22" s="82" customFormat="1">
      <c r="S514" s="95"/>
      <c r="T514" s="95"/>
      <c r="U514" s="95"/>
      <c r="V514" s="95"/>
    </row>
    <row r="515" spans="2:22" s="82" customFormat="1">
      <c r="B515" s="93"/>
      <c r="P515" s="94"/>
      <c r="S515" s="95"/>
      <c r="T515" s="95"/>
      <c r="U515" s="95"/>
      <c r="V515" s="95"/>
    </row>
    <row r="516" spans="2:22" s="82" customFormat="1">
      <c r="S516" s="95"/>
      <c r="T516" s="95"/>
      <c r="U516" s="95"/>
      <c r="V516" s="95"/>
    </row>
    <row r="517" spans="2:22" s="82" customFormat="1">
      <c r="S517" s="95"/>
      <c r="T517" s="95"/>
      <c r="U517" s="95"/>
      <c r="V517" s="95"/>
    </row>
    <row r="518" spans="2:22" s="82" customFormat="1">
      <c r="B518" s="93"/>
      <c r="P518" s="94"/>
      <c r="S518" s="95"/>
      <c r="T518" s="95"/>
      <c r="U518" s="95"/>
      <c r="V518" s="95"/>
    </row>
    <row r="519" spans="2:22" s="82" customFormat="1">
      <c r="S519" s="95"/>
      <c r="T519" s="95"/>
      <c r="U519" s="95"/>
      <c r="V519" s="95"/>
    </row>
    <row r="520" spans="2:22" s="82" customFormat="1">
      <c r="S520" s="95"/>
      <c r="T520" s="95"/>
      <c r="U520" s="95"/>
      <c r="V520" s="95"/>
    </row>
    <row r="521" spans="2:22" s="82" customFormat="1">
      <c r="B521" s="93"/>
      <c r="P521" s="94"/>
      <c r="S521" s="95"/>
      <c r="T521" s="95"/>
      <c r="U521" s="95"/>
      <c r="V521" s="95"/>
    </row>
    <row r="522" spans="2:22" s="82" customFormat="1">
      <c r="S522" s="95"/>
      <c r="T522" s="95"/>
      <c r="U522" s="95"/>
      <c r="V522" s="95"/>
    </row>
    <row r="523" spans="2:22" s="82" customFormat="1">
      <c r="S523" s="95"/>
      <c r="T523" s="95"/>
      <c r="U523" s="95"/>
      <c r="V523" s="95"/>
    </row>
    <row r="524" spans="2:22" s="82" customFormat="1">
      <c r="B524" s="93"/>
      <c r="P524" s="94"/>
      <c r="S524" s="95"/>
      <c r="T524" s="95"/>
      <c r="U524" s="95"/>
      <c r="V524" s="95"/>
    </row>
    <row r="525" spans="2:22" s="82" customFormat="1">
      <c r="S525" s="95"/>
      <c r="T525" s="95"/>
      <c r="U525" s="95"/>
      <c r="V525" s="95"/>
    </row>
    <row r="526" spans="2:22" s="82" customFormat="1">
      <c r="S526" s="95"/>
      <c r="T526" s="95"/>
      <c r="U526" s="95"/>
      <c r="V526" s="95"/>
    </row>
    <row r="527" spans="2:22" s="82" customFormat="1">
      <c r="B527" s="93"/>
      <c r="P527" s="94"/>
      <c r="S527" s="95"/>
      <c r="T527" s="95"/>
      <c r="U527" s="95"/>
      <c r="V527" s="95"/>
    </row>
    <row r="528" spans="2:22" s="82" customFormat="1">
      <c r="S528" s="95"/>
      <c r="T528" s="95"/>
      <c r="U528" s="95"/>
      <c r="V528" s="95"/>
    </row>
    <row r="529" spans="2:22" s="82" customFormat="1">
      <c r="S529" s="95"/>
      <c r="T529" s="95"/>
      <c r="U529" s="95"/>
      <c r="V529" s="95"/>
    </row>
    <row r="530" spans="2:22" s="82" customFormat="1">
      <c r="B530" s="93"/>
      <c r="P530" s="94"/>
      <c r="S530" s="95"/>
      <c r="T530" s="95"/>
      <c r="U530" s="95"/>
      <c r="V530" s="95"/>
    </row>
    <row r="531" spans="2:22" s="82" customFormat="1">
      <c r="S531" s="95"/>
      <c r="T531" s="95"/>
      <c r="U531" s="95"/>
      <c r="V531" s="95"/>
    </row>
    <row r="532" spans="2:22" s="82" customFormat="1">
      <c r="S532" s="95"/>
      <c r="T532" s="95"/>
      <c r="U532" s="95"/>
      <c r="V532" s="95"/>
    </row>
    <row r="533" spans="2:22" s="82" customFormat="1">
      <c r="B533" s="93"/>
      <c r="P533" s="94"/>
      <c r="S533" s="95"/>
      <c r="T533" s="95"/>
      <c r="U533" s="95"/>
      <c r="V533" s="95"/>
    </row>
    <row r="534" spans="2:22" s="82" customFormat="1">
      <c r="S534" s="95"/>
      <c r="T534" s="95"/>
      <c r="U534" s="95"/>
      <c r="V534" s="95"/>
    </row>
    <row r="535" spans="2:22" s="82" customFormat="1">
      <c r="S535" s="95"/>
      <c r="T535" s="95"/>
      <c r="U535" s="95"/>
      <c r="V535" s="95"/>
    </row>
    <row r="536" spans="2:22" s="82" customFormat="1">
      <c r="B536" s="93"/>
      <c r="P536" s="94"/>
      <c r="S536" s="95"/>
      <c r="T536" s="95"/>
      <c r="U536" s="95"/>
      <c r="V536" s="95"/>
    </row>
    <row r="537" spans="2:22" s="82" customFormat="1">
      <c r="S537" s="95"/>
      <c r="T537" s="95"/>
      <c r="U537" s="95"/>
      <c r="V537" s="95"/>
    </row>
    <row r="538" spans="2:22" s="82" customFormat="1">
      <c r="S538" s="95"/>
      <c r="T538" s="95"/>
      <c r="U538" s="95"/>
      <c r="V538" s="95"/>
    </row>
    <row r="539" spans="2:22" s="82" customFormat="1">
      <c r="B539" s="93"/>
      <c r="P539" s="94"/>
      <c r="S539" s="95"/>
      <c r="T539" s="95"/>
      <c r="U539" s="95"/>
      <c r="V539" s="95"/>
    </row>
    <row r="540" spans="2:22" s="82" customFormat="1">
      <c r="S540" s="95"/>
      <c r="T540" s="95"/>
      <c r="U540" s="95"/>
      <c r="V540" s="95"/>
    </row>
    <row r="541" spans="2:22" s="82" customFormat="1">
      <c r="S541" s="95"/>
      <c r="T541" s="95"/>
      <c r="U541" s="95"/>
      <c r="V541" s="95"/>
    </row>
    <row r="542" spans="2:22" s="82" customFormat="1">
      <c r="B542" s="93"/>
      <c r="P542" s="94"/>
      <c r="S542" s="95"/>
      <c r="T542" s="95"/>
      <c r="U542" s="95"/>
      <c r="V542" s="95"/>
    </row>
    <row r="543" spans="2:22" s="82" customFormat="1">
      <c r="S543" s="95"/>
      <c r="T543" s="95"/>
      <c r="U543" s="95"/>
      <c r="V543" s="95"/>
    </row>
    <row r="544" spans="2:22" s="82" customFormat="1">
      <c r="S544" s="95"/>
      <c r="T544" s="95"/>
      <c r="U544" s="95"/>
      <c r="V544" s="95"/>
    </row>
    <row r="545" spans="2:22" s="82" customFormat="1">
      <c r="B545" s="93"/>
      <c r="P545" s="94"/>
      <c r="S545" s="95"/>
      <c r="T545" s="95"/>
      <c r="U545" s="95"/>
      <c r="V545" s="95"/>
    </row>
    <row r="546" spans="2:22" s="82" customFormat="1">
      <c r="S546" s="95"/>
      <c r="T546" s="95"/>
      <c r="U546" s="95"/>
      <c r="V546" s="95"/>
    </row>
    <row r="547" spans="2:22" s="82" customFormat="1">
      <c r="S547" s="95"/>
      <c r="T547" s="95"/>
      <c r="U547" s="95"/>
      <c r="V547" s="95"/>
    </row>
    <row r="548" spans="2:22" s="82" customFormat="1">
      <c r="B548" s="93"/>
      <c r="P548" s="94"/>
      <c r="S548" s="95"/>
      <c r="T548" s="95"/>
      <c r="U548" s="95"/>
      <c r="V548" s="95"/>
    </row>
    <row r="549" spans="2:22" s="82" customFormat="1">
      <c r="S549" s="95"/>
      <c r="T549" s="95"/>
      <c r="U549" s="95"/>
      <c r="V549" s="95"/>
    </row>
    <row r="550" spans="2:22" s="82" customFormat="1">
      <c r="S550" s="95"/>
      <c r="T550" s="95"/>
      <c r="U550" s="95"/>
      <c r="V550" s="95"/>
    </row>
    <row r="551" spans="2:22" s="82" customFormat="1">
      <c r="B551" s="93"/>
      <c r="P551" s="94"/>
      <c r="S551" s="95"/>
      <c r="T551" s="95"/>
      <c r="U551" s="95"/>
      <c r="V551" s="95"/>
    </row>
    <row r="552" spans="2:22" s="82" customFormat="1">
      <c r="S552" s="95"/>
      <c r="T552" s="95"/>
      <c r="U552" s="95"/>
      <c r="V552" s="95"/>
    </row>
    <row r="553" spans="2:22" s="82" customFormat="1">
      <c r="S553" s="95"/>
      <c r="T553" s="95"/>
      <c r="U553" s="95"/>
      <c r="V553" s="95"/>
    </row>
    <row r="554" spans="2:22" s="82" customFormat="1">
      <c r="B554" s="93"/>
      <c r="P554" s="94"/>
      <c r="S554" s="95"/>
      <c r="T554" s="95"/>
      <c r="U554" s="95"/>
      <c r="V554" s="95"/>
    </row>
    <row r="555" spans="2:22" s="82" customFormat="1">
      <c r="S555" s="95"/>
      <c r="T555" s="95"/>
      <c r="U555" s="95"/>
      <c r="V555" s="95"/>
    </row>
    <row r="556" spans="2:22" s="82" customFormat="1">
      <c r="S556" s="95"/>
      <c r="T556" s="95"/>
      <c r="U556" s="95"/>
      <c r="V556" s="95"/>
    </row>
    <row r="557" spans="2:22" s="82" customFormat="1">
      <c r="B557" s="93"/>
      <c r="P557" s="94"/>
      <c r="S557" s="95"/>
      <c r="T557" s="95"/>
      <c r="U557" s="95"/>
      <c r="V557" s="95"/>
    </row>
    <row r="558" spans="2:22" s="82" customFormat="1">
      <c r="S558" s="95"/>
      <c r="T558" s="95"/>
      <c r="U558" s="95"/>
      <c r="V558" s="95"/>
    </row>
    <row r="559" spans="2:22" s="82" customFormat="1">
      <c r="S559" s="95"/>
      <c r="T559" s="95"/>
      <c r="U559" s="95"/>
      <c r="V559" s="95"/>
    </row>
    <row r="560" spans="2:22" s="82" customFormat="1">
      <c r="B560" s="93"/>
      <c r="P560" s="94"/>
      <c r="S560" s="95"/>
      <c r="T560" s="95"/>
      <c r="U560" s="95"/>
      <c r="V560" s="95"/>
    </row>
    <row r="561" spans="2:22" s="82" customFormat="1">
      <c r="S561" s="95"/>
      <c r="T561" s="95"/>
      <c r="U561" s="95"/>
      <c r="V561" s="95"/>
    </row>
    <row r="562" spans="2:22" s="82" customFormat="1">
      <c r="S562" s="95"/>
      <c r="T562" s="95"/>
      <c r="U562" s="95"/>
      <c r="V562" s="95"/>
    </row>
    <row r="563" spans="2:22" s="82" customFormat="1">
      <c r="B563" s="93"/>
      <c r="P563" s="94"/>
      <c r="S563" s="95"/>
      <c r="T563" s="95"/>
      <c r="U563" s="95"/>
      <c r="V563" s="95"/>
    </row>
    <row r="564" spans="2:22" s="82" customFormat="1">
      <c r="S564" s="95"/>
      <c r="T564" s="95"/>
      <c r="U564" s="95"/>
      <c r="V564" s="95"/>
    </row>
    <row r="565" spans="2:22" s="82" customFormat="1">
      <c r="S565" s="95"/>
      <c r="T565" s="95"/>
      <c r="U565" s="95"/>
      <c r="V565" s="95"/>
    </row>
    <row r="566" spans="2:22" s="82" customFormat="1">
      <c r="B566" s="93"/>
      <c r="P566" s="94"/>
      <c r="S566" s="95"/>
      <c r="T566" s="95"/>
      <c r="U566" s="95"/>
      <c r="V566" s="95"/>
    </row>
    <row r="567" spans="2:22" s="82" customFormat="1">
      <c r="S567" s="95"/>
      <c r="T567" s="95"/>
      <c r="U567" s="95"/>
      <c r="V567" s="95"/>
    </row>
    <row r="568" spans="2:22" s="82" customFormat="1">
      <c r="S568" s="95"/>
      <c r="T568" s="95"/>
      <c r="U568" s="95"/>
      <c r="V568" s="95"/>
    </row>
    <row r="569" spans="2:22" s="82" customFormat="1">
      <c r="B569" s="93"/>
      <c r="P569" s="94"/>
      <c r="S569" s="95"/>
      <c r="T569" s="95"/>
      <c r="U569" s="95"/>
      <c r="V569" s="95"/>
    </row>
    <row r="570" spans="2:22" s="82" customFormat="1">
      <c r="S570" s="95"/>
      <c r="T570" s="95"/>
      <c r="U570" s="95"/>
      <c r="V570" s="95"/>
    </row>
    <row r="571" spans="2:22" s="82" customFormat="1">
      <c r="S571" s="95"/>
      <c r="T571" s="95"/>
      <c r="U571" s="95"/>
      <c r="V571" s="95"/>
    </row>
    <row r="572" spans="2:22" s="82" customFormat="1">
      <c r="B572" s="93"/>
      <c r="P572" s="94"/>
      <c r="S572" s="95"/>
      <c r="T572" s="95"/>
      <c r="U572" s="95"/>
      <c r="V572" s="95"/>
    </row>
    <row r="573" spans="2:22" s="82" customFormat="1">
      <c r="S573" s="95"/>
      <c r="T573" s="95"/>
      <c r="U573" s="95"/>
      <c r="V573" s="95"/>
    </row>
    <row r="574" spans="2:22" s="82" customFormat="1">
      <c r="S574" s="95"/>
      <c r="T574" s="95"/>
      <c r="U574" s="95"/>
      <c r="V574" s="95"/>
    </row>
    <row r="575" spans="2:22" s="82" customFormat="1">
      <c r="B575" s="93"/>
      <c r="P575" s="94"/>
      <c r="S575" s="95"/>
      <c r="T575" s="95"/>
      <c r="U575" s="95"/>
      <c r="V575" s="95"/>
    </row>
    <row r="576" spans="2:22" s="82" customFormat="1">
      <c r="S576" s="95"/>
      <c r="T576" s="95"/>
      <c r="U576" s="95"/>
      <c r="V576" s="95"/>
    </row>
    <row r="577" spans="2:22" s="82" customFormat="1">
      <c r="S577" s="95"/>
      <c r="T577" s="95"/>
      <c r="U577" s="95"/>
      <c r="V577" s="95"/>
    </row>
    <row r="578" spans="2:22" s="82" customFormat="1">
      <c r="B578" s="93"/>
      <c r="P578" s="94"/>
      <c r="S578" s="95"/>
      <c r="T578" s="95"/>
      <c r="U578" s="95"/>
      <c r="V578" s="95"/>
    </row>
    <row r="579" spans="2:22" s="82" customFormat="1">
      <c r="S579" s="95"/>
      <c r="T579" s="95"/>
      <c r="U579" s="95"/>
      <c r="V579" s="95"/>
    </row>
    <row r="580" spans="2:22" s="82" customFormat="1">
      <c r="S580" s="95"/>
      <c r="T580" s="95"/>
      <c r="U580" s="95"/>
      <c r="V580" s="95"/>
    </row>
    <row r="581" spans="2:22" s="82" customFormat="1">
      <c r="B581" s="93"/>
      <c r="P581" s="94"/>
      <c r="S581" s="95"/>
      <c r="T581" s="95"/>
      <c r="U581" s="95"/>
      <c r="V581" s="95"/>
    </row>
    <row r="582" spans="2:22" s="82" customFormat="1">
      <c r="S582" s="95"/>
      <c r="T582" s="95"/>
      <c r="U582" s="95"/>
      <c r="V582" s="95"/>
    </row>
    <row r="583" spans="2:22" s="82" customFormat="1">
      <c r="S583" s="95"/>
      <c r="T583" s="95"/>
      <c r="U583" s="95"/>
      <c r="V583" s="95"/>
    </row>
    <row r="584" spans="2:22" s="82" customFormat="1">
      <c r="B584" s="93"/>
      <c r="P584" s="94"/>
      <c r="S584" s="95"/>
      <c r="T584" s="95"/>
      <c r="U584" s="95"/>
      <c r="V584" s="95"/>
    </row>
    <row r="585" spans="2:22" s="82" customFormat="1">
      <c r="S585" s="95"/>
      <c r="T585" s="95"/>
      <c r="U585" s="95"/>
      <c r="V585" s="95"/>
    </row>
    <row r="586" spans="2:22" s="82" customFormat="1">
      <c r="S586" s="95"/>
      <c r="T586" s="95"/>
      <c r="U586" s="95"/>
      <c r="V586" s="95"/>
    </row>
    <row r="587" spans="2:22" s="82" customFormat="1">
      <c r="B587" s="93"/>
      <c r="P587" s="94"/>
      <c r="S587" s="95"/>
      <c r="T587" s="95"/>
      <c r="U587" s="95"/>
      <c r="V587" s="95"/>
    </row>
    <row r="588" spans="2:22" s="82" customFormat="1">
      <c r="S588" s="95"/>
      <c r="T588" s="95"/>
      <c r="U588" s="95"/>
      <c r="V588" s="95"/>
    </row>
    <row r="589" spans="2:22" s="82" customFormat="1">
      <c r="S589" s="95"/>
      <c r="T589" s="95"/>
      <c r="U589" s="95"/>
      <c r="V589" s="95"/>
    </row>
    <row r="590" spans="2:22" s="82" customFormat="1">
      <c r="B590" s="93"/>
      <c r="P590" s="94"/>
      <c r="S590" s="95"/>
      <c r="T590" s="95"/>
      <c r="U590" s="95"/>
      <c r="V590" s="95"/>
    </row>
    <row r="591" spans="2:22" s="82" customFormat="1">
      <c r="S591" s="95"/>
      <c r="T591" s="95"/>
      <c r="U591" s="95"/>
      <c r="V591" s="95"/>
    </row>
    <row r="592" spans="2:22" s="82" customFormat="1">
      <c r="S592" s="95"/>
      <c r="T592" s="95"/>
      <c r="U592" s="95"/>
      <c r="V592" s="95"/>
    </row>
    <row r="593" spans="2:22" s="82" customFormat="1">
      <c r="B593" s="93"/>
      <c r="P593" s="94"/>
      <c r="S593" s="95"/>
      <c r="T593" s="95"/>
      <c r="U593" s="95"/>
      <c r="V593" s="95"/>
    </row>
    <row r="594" spans="2:22" s="82" customFormat="1">
      <c r="S594" s="95"/>
      <c r="T594" s="95"/>
      <c r="U594" s="95"/>
      <c r="V594" s="95"/>
    </row>
    <row r="595" spans="2:22" s="82" customFormat="1">
      <c r="S595" s="95"/>
      <c r="T595" s="95"/>
      <c r="U595" s="95"/>
      <c r="V595" s="95"/>
    </row>
    <row r="596" spans="2:22" s="82" customFormat="1">
      <c r="B596" s="93"/>
      <c r="P596" s="94"/>
      <c r="S596" s="95"/>
      <c r="T596" s="95"/>
      <c r="U596" s="95"/>
      <c r="V596" s="95"/>
    </row>
    <row r="597" spans="2:22" s="82" customFormat="1">
      <c r="S597" s="95"/>
      <c r="T597" s="95"/>
      <c r="U597" s="95"/>
      <c r="V597" s="95"/>
    </row>
    <row r="598" spans="2:22" s="82" customFormat="1">
      <c r="S598" s="95"/>
      <c r="T598" s="95"/>
      <c r="U598" s="95"/>
      <c r="V598" s="95"/>
    </row>
    <row r="599" spans="2:22" s="82" customFormat="1">
      <c r="B599" s="93"/>
      <c r="P599" s="94"/>
      <c r="S599" s="95"/>
      <c r="T599" s="95"/>
      <c r="U599" s="95"/>
      <c r="V599" s="95"/>
    </row>
    <row r="600" spans="2:22" s="82" customFormat="1">
      <c r="S600" s="95"/>
      <c r="T600" s="95"/>
      <c r="U600" s="95"/>
      <c r="V600" s="95"/>
    </row>
    <row r="601" spans="2:22" s="82" customFormat="1">
      <c r="S601" s="95"/>
      <c r="T601" s="95"/>
      <c r="U601" s="95"/>
      <c r="V601" s="95"/>
    </row>
    <row r="602" spans="2:22" s="82" customFormat="1">
      <c r="B602" s="93"/>
      <c r="P602" s="94"/>
      <c r="S602" s="95"/>
      <c r="T602" s="95"/>
      <c r="U602" s="95"/>
      <c r="V602" s="95"/>
    </row>
    <row r="603" spans="2:22" s="82" customFormat="1">
      <c r="S603" s="95"/>
      <c r="T603" s="95"/>
      <c r="U603" s="95"/>
      <c r="V603" s="95"/>
    </row>
    <row r="604" spans="2:22" s="82" customFormat="1">
      <c r="S604" s="95"/>
      <c r="T604" s="95"/>
      <c r="U604" s="95"/>
      <c r="V604" s="95"/>
    </row>
    <row r="605" spans="2:22" s="82" customFormat="1">
      <c r="B605" s="93"/>
      <c r="P605" s="94"/>
      <c r="S605" s="95"/>
      <c r="T605" s="95"/>
      <c r="U605" s="95"/>
      <c r="V605" s="95"/>
    </row>
    <row r="606" spans="2:22" s="82" customFormat="1">
      <c r="S606" s="95"/>
      <c r="T606" s="95"/>
      <c r="U606" s="95"/>
      <c r="V606" s="95"/>
    </row>
    <row r="607" spans="2:22" s="82" customFormat="1">
      <c r="S607" s="95"/>
      <c r="T607" s="95"/>
      <c r="U607" s="95"/>
      <c r="V607" s="95"/>
    </row>
    <row r="608" spans="2:22" s="82" customFormat="1">
      <c r="B608" s="93"/>
      <c r="P608" s="94"/>
      <c r="S608" s="95"/>
      <c r="T608" s="95"/>
      <c r="U608" s="95"/>
      <c r="V608" s="95"/>
    </row>
    <row r="609" spans="2:22" s="82" customFormat="1">
      <c r="S609" s="95"/>
      <c r="T609" s="95"/>
      <c r="U609" s="95"/>
      <c r="V609" s="95"/>
    </row>
    <row r="610" spans="2:22" s="82" customFormat="1">
      <c r="S610" s="95"/>
      <c r="T610" s="95"/>
      <c r="U610" s="95"/>
      <c r="V610" s="95"/>
    </row>
    <row r="611" spans="2:22" s="82" customFormat="1">
      <c r="B611" s="93"/>
      <c r="P611" s="94"/>
      <c r="S611" s="95"/>
      <c r="T611" s="95"/>
      <c r="U611" s="95"/>
      <c r="V611" s="95"/>
    </row>
    <row r="612" spans="2:22" s="82" customFormat="1">
      <c r="S612" s="95"/>
      <c r="T612" s="95"/>
      <c r="U612" s="95"/>
      <c r="V612" s="95"/>
    </row>
    <row r="613" spans="2:22" s="82" customFormat="1">
      <c r="S613" s="95"/>
      <c r="T613" s="95"/>
      <c r="U613" s="95"/>
      <c r="V613" s="95"/>
    </row>
    <row r="614" spans="2:22" s="82" customFormat="1">
      <c r="B614" s="93"/>
      <c r="P614" s="94"/>
      <c r="S614" s="95"/>
      <c r="T614" s="95"/>
      <c r="U614" s="95"/>
      <c r="V614" s="95"/>
    </row>
    <row r="615" spans="2:22" s="82" customFormat="1">
      <c r="S615" s="95"/>
      <c r="T615" s="95"/>
      <c r="U615" s="95"/>
      <c r="V615" s="95"/>
    </row>
    <row r="616" spans="2:22" s="82" customFormat="1">
      <c r="S616" s="95"/>
      <c r="T616" s="95"/>
      <c r="U616" s="95"/>
      <c r="V616" s="95"/>
    </row>
    <row r="617" spans="2:22" s="82" customFormat="1">
      <c r="B617" s="93"/>
      <c r="P617" s="94"/>
      <c r="S617" s="95"/>
      <c r="T617" s="95"/>
      <c r="U617" s="95"/>
      <c r="V617" s="95"/>
    </row>
    <row r="618" spans="2:22" s="82" customFormat="1"/>
    <row r="619" spans="2:22" s="82" customFormat="1"/>
    <row r="620" spans="2:22" s="82" customFormat="1"/>
    <row r="621" spans="2:22" s="82" customFormat="1"/>
    <row r="622" spans="2:22" s="82" customFormat="1"/>
    <row r="623" spans="2:22" s="82" customFormat="1"/>
    <row r="624" spans="2:22" s="82" customFormat="1"/>
    <row r="625" s="82" customFormat="1"/>
    <row r="626" s="82" customFormat="1"/>
    <row r="627" s="82" customFormat="1"/>
    <row r="628" s="82" customFormat="1"/>
    <row r="629" s="82" customFormat="1"/>
    <row r="630" s="82" customFormat="1"/>
    <row r="631" s="82" customFormat="1"/>
    <row r="632" s="82" customFormat="1"/>
    <row r="633" s="82" customFormat="1"/>
    <row r="634" s="82" customFormat="1"/>
    <row r="635" s="82" customFormat="1"/>
    <row r="636" s="82" customFormat="1"/>
    <row r="637" s="82" customFormat="1"/>
    <row r="638" s="82" customFormat="1"/>
    <row r="639" s="82" customFormat="1"/>
    <row r="640" s="82" customFormat="1"/>
    <row r="641" s="82" customFormat="1"/>
    <row r="642" s="82" customFormat="1"/>
    <row r="643" s="82" customFormat="1"/>
    <row r="644" s="82" customFormat="1"/>
    <row r="645" s="82" customFormat="1"/>
    <row r="646" s="82" customFormat="1"/>
    <row r="647" s="82" customFormat="1"/>
    <row r="648" s="82" customFormat="1"/>
    <row r="649" s="82" customFormat="1"/>
    <row r="650" s="82" customFormat="1"/>
    <row r="651" s="82" customFormat="1"/>
    <row r="652" s="82" customFormat="1"/>
    <row r="653" s="82" customFormat="1"/>
    <row r="654" s="82" customFormat="1"/>
    <row r="655" s="82" customFormat="1"/>
    <row r="656" s="82" customFormat="1"/>
    <row r="657" s="82" customFormat="1"/>
    <row r="658" s="82" customFormat="1"/>
    <row r="659" s="82" customFormat="1"/>
    <row r="660" s="82" customFormat="1"/>
    <row r="661" s="82" customFormat="1"/>
    <row r="662" s="82" customFormat="1"/>
    <row r="663" s="82" customFormat="1"/>
    <row r="664" s="82" customFormat="1"/>
    <row r="665" s="82" customFormat="1"/>
    <row r="666" s="82" customFormat="1"/>
    <row r="667" s="82" customFormat="1"/>
    <row r="668" s="82" customFormat="1"/>
    <row r="669" s="82" customFormat="1"/>
    <row r="670" s="82" customFormat="1"/>
    <row r="671" s="82" customFormat="1"/>
    <row r="672" s="82" customFormat="1"/>
    <row r="673" s="82" customFormat="1"/>
    <row r="674" s="82" customFormat="1"/>
    <row r="675" s="82" customFormat="1"/>
    <row r="676" s="82" customFormat="1"/>
    <row r="677" s="82" customFormat="1"/>
    <row r="678" s="82" customFormat="1"/>
    <row r="679" s="82" customFormat="1"/>
    <row r="680" s="82" customFormat="1"/>
    <row r="681" s="82" customFormat="1"/>
    <row r="682" s="82" customFormat="1"/>
    <row r="683" s="82" customFormat="1"/>
    <row r="684" s="82" customFormat="1"/>
    <row r="685" s="82" customFormat="1"/>
    <row r="686" s="82" customFormat="1"/>
    <row r="687" s="82" customFormat="1"/>
    <row r="688" s="82" customFormat="1"/>
    <row r="689" s="82" customFormat="1"/>
    <row r="690" s="82" customFormat="1"/>
    <row r="691" s="82" customFormat="1"/>
    <row r="692" s="82" customFormat="1"/>
    <row r="693" s="82" customFormat="1"/>
    <row r="694" s="82" customFormat="1"/>
    <row r="695" s="82" customFormat="1"/>
    <row r="696" s="82" customFormat="1"/>
    <row r="697" s="82" customFormat="1"/>
    <row r="698" s="82" customFormat="1"/>
    <row r="699" s="82" customFormat="1"/>
    <row r="700" s="82" customFormat="1"/>
    <row r="701" s="82" customFormat="1"/>
    <row r="702" s="82" customFormat="1"/>
    <row r="703" s="82" customFormat="1"/>
    <row r="704" s="82" customFormat="1"/>
    <row r="705" s="82" customFormat="1"/>
    <row r="706" s="82" customFormat="1"/>
    <row r="707" s="82" customFormat="1"/>
    <row r="708" s="82" customFormat="1"/>
    <row r="709" s="82" customFormat="1"/>
    <row r="710" s="82" customFormat="1"/>
    <row r="711" s="82" customFormat="1"/>
    <row r="712" s="82" customFormat="1"/>
    <row r="713" s="82" customFormat="1"/>
    <row r="714" s="82" customFormat="1"/>
    <row r="715" s="82" customFormat="1"/>
    <row r="716" s="82" customFormat="1"/>
    <row r="717" s="82" customFormat="1"/>
    <row r="718" s="82" customFormat="1"/>
    <row r="719" s="82" customFormat="1"/>
    <row r="720" s="82" customFormat="1"/>
    <row r="721" s="82" customFormat="1"/>
    <row r="722" s="82" customFormat="1"/>
    <row r="723" s="82" customFormat="1"/>
    <row r="724" s="82" customFormat="1"/>
    <row r="725" s="82" customFormat="1"/>
    <row r="726" s="82" customFormat="1"/>
    <row r="727" s="82" customFormat="1"/>
    <row r="728" s="82" customFormat="1"/>
    <row r="729" s="82" customFormat="1"/>
    <row r="730" s="82" customFormat="1"/>
    <row r="731" s="82" customFormat="1"/>
    <row r="732" s="82" customFormat="1"/>
    <row r="733" s="82" customFormat="1"/>
    <row r="734" s="82" customFormat="1"/>
    <row r="735" s="82" customFormat="1"/>
    <row r="736" s="82" customFormat="1"/>
    <row r="737" s="82" customFormat="1"/>
    <row r="738" s="82" customFormat="1"/>
    <row r="739" s="82" customFormat="1"/>
    <row r="740" s="82" customFormat="1"/>
    <row r="741" s="82" customFormat="1"/>
    <row r="742" s="82" customFormat="1"/>
    <row r="743" s="82" customFormat="1"/>
    <row r="744" s="82" customFormat="1"/>
    <row r="745" s="82" customFormat="1"/>
    <row r="746" s="82" customFormat="1"/>
    <row r="747" s="82" customFormat="1"/>
    <row r="748" s="82" customFormat="1"/>
    <row r="749" s="82" customFormat="1"/>
    <row r="750" s="82" customFormat="1"/>
    <row r="751" s="82" customFormat="1"/>
    <row r="752" s="82" customFormat="1"/>
    <row r="753" s="82" customFormat="1"/>
    <row r="754" s="82" customFormat="1"/>
    <row r="755" s="82" customFormat="1"/>
    <row r="756" s="82" customFormat="1"/>
    <row r="757" s="82" customFormat="1"/>
    <row r="758" s="82" customFormat="1"/>
    <row r="759" s="82" customFormat="1"/>
    <row r="760" s="82" customFormat="1"/>
    <row r="761" s="82" customFormat="1"/>
    <row r="762" s="82" customFormat="1"/>
    <row r="763" s="82" customFormat="1"/>
    <row r="764" s="82" customFormat="1"/>
    <row r="765" s="82" customFormat="1"/>
    <row r="766" s="82" customFormat="1"/>
    <row r="767" s="82" customFormat="1"/>
    <row r="768" s="82" customFormat="1"/>
    <row r="769" s="82" customFormat="1"/>
    <row r="770" s="82" customFormat="1"/>
    <row r="771" s="82" customFormat="1"/>
    <row r="772" s="82" customFormat="1"/>
    <row r="773" s="82" customFormat="1"/>
    <row r="774" s="82" customFormat="1"/>
    <row r="775" s="82" customFormat="1"/>
    <row r="776" s="82" customFormat="1"/>
    <row r="777" s="82" customFormat="1"/>
    <row r="778" s="82" customFormat="1"/>
    <row r="779" s="82" customFormat="1"/>
    <row r="780" s="82" customFormat="1"/>
    <row r="781" s="82" customFormat="1"/>
    <row r="782" s="82" customFormat="1"/>
    <row r="783" s="82" customFormat="1"/>
    <row r="784" s="82" customFormat="1"/>
    <row r="785" s="82" customFormat="1"/>
    <row r="786" s="82" customFormat="1"/>
    <row r="787" s="82" customFormat="1"/>
    <row r="788" s="82" customFormat="1"/>
    <row r="789" s="82" customFormat="1"/>
    <row r="790" s="82" customFormat="1"/>
    <row r="791" s="82" customFormat="1"/>
    <row r="792" s="82" customFormat="1"/>
    <row r="793" s="82" customFormat="1"/>
    <row r="794" s="82" customFormat="1"/>
    <row r="795" s="82" customFormat="1"/>
    <row r="796" s="82" customFormat="1"/>
    <row r="797" s="82" customFormat="1"/>
    <row r="798" s="82" customFormat="1"/>
    <row r="799" s="82" customFormat="1"/>
    <row r="800" s="82" customFormat="1"/>
    <row r="801" s="82" customFormat="1"/>
    <row r="802" s="82" customFormat="1"/>
    <row r="803" s="82" customFormat="1"/>
    <row r="804" s="82" customFormat="1"/>
    <row r="805" s="82" customFormat="1"/>
    <row r="806" s="82" customFormat="1"/>
    <row r="807" s="82" customFormat="1"/>
    <row r="808" s="82" customFormat="1"/>
    <row r="809" s="82" customFormat="1"/>
    <row r="810" s="82" customFormat="1"/>
    <row r="811" s="82" customFormat="1"/>
    <row r="812" s="82" customFormat="1"/>
    <row r="813" s="82" customFormat="1"/>
    <row r="814" s="82" customFormat="1"/>
    <row r="815" s="82" customFormat="1"/>
    <row r="816" s="82" customFormat="1"/>
    <row r="817" s="82" customFormat="1"/>
    <row r="818" s="82" customFormat="1"/>
    <row r="819" s="82" customFormat="1"/>
    <row r="820" s="82" customFormat="1"/>
    <row r="821" s="82" customFormat="1"/>
    <row r="822" s="82" customFormat="1"/>
    <row r="823" s="82" customFormat="1"/>
    <row r="824" s="82" customFormat="1"/>
    <row r="825" s="82" customFormat="1"/>
    <row r="826" s="82" customFormat="1"/>
    <row r="827" s="82" customFormat="1"/>
    <row r="828" s="82" customFormat="1"/>
    <row r="829" s="82" customFormat="1"/>
    <row r="830" s="82" customFormat="1"/>
    <row r="831" s="82" customFormat="1"/>
    <row r="832" s="82" customFormat="1"/>
    <row r="833" s="82" customFormat="1"/>
    <row r="834" s="82" customFormat="1"/>
    <row r="835" s="82" customFormat="1"/>
    <row r="836" s="82" customFormat="1"/>
    <row r="837" s="82" customFormat="1"/>
    <row r="838" s="82" customFormat="1"/>
    <row r="839" s="82" customFormat="1"/>
    <row r="840" s="82" customFormat="1"/>
    <row r="841" s="82" customFormat="1"/>
    <row r="842" s="82" customFormat="1"/>
    <row r="843" s="82" customFormat="1"/>
    <row r="844" s="82" customFormat="1"/>
    <row r="845" s="82" customFormat="1"/>
    <row r="846" s="82" customFormat="1"/>
    <row r="847" s="82" customFormat="1"/>
    <row r="848" s="82" customFormat="1"/>
    <row r="849" s="82" customFormat="1"/>
    <row r="850" s="82" customFormat="1"/>
    <row r="851" s="82" customFormat="1"/>
    <row r="852" s="82" customFormat="1"/>
    <row r="853" s="82" customFormat="1"/>
    <row r="854" s="82" customFormat="1"/>
    <row r="855" s="82" customFormat="1"/>
    <row r="856" s="82" customFormat="1"/>
    <row r="857" s="82" customFormat="1"/>
    <row r="858" s="82" customFormat="1"/>
    <row r="859" s="82" customFormat="1"/>
    <row r="860" s="82" customFormat="1"/>
    <row r="861" s="82" customFormat="1"/>
    <row r="862" s="82" customFormat="1"/>
    <row r="863" s="82" customFormat="1"/>
    <row r="864" s="82" customFormat="1"/>
    <row r="865" s="82" customFormat="1"/>
    <row r="866" s="82" customFormat="1"/>
    <row r="867" s="82" customFormat="1"/>
    <row r="868" s="82" customFormat="1"/>
    <row r="869" s="82" customFormat="1"/>
    <row r="870" s="82" customFormat="1"/>
    <row r="871" s="82" customFormat="1"/>
    <row r="872" s="82" customFormat="1"/>
    <row r="873" s="82" customFormat="1"/>
    <row r="874" s="82" customFormat="1"/>
    <row r="875" s="82" customFormat="1"/>
    <row r="876" s="82" customFormat="1"/>
    <row r="877" s="82" customFormat="1"/>
    <row r="878" s="82" customFormat="1"/>
    <row r="879" s="82" customFormat="1"/>
    <row r="880" s="82" customFormat="1"/>
    <row r="881" s="82" customFormat="1"/>
    <row r="882" s="82" customForma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1AF9-60DF-43DB-92D7-EF8449039E21}">
  <sheetPr>
    <tabColor rgb="FFFFFF00"/>
  </sheetPr>
  <dimension ref="A2:Z882"/>
  <sheetViews>
    <sheetView topLeftCell="A19" workbookViewId="0">
      <selection sqref="A1:XFD1048576"/>
    </sheetView>
  </sheetViews>
  <sheetFormatPr defaultColWidth="8.84375" defaultRowHeight="14.5"/>
  <cols>
    <col min="1" max="1" width="5.4609375" style="62" customWidth="1"/>
    <col min="2" max="2" width="20.84375" style="62" customWidth="1"/>
    <col min="3" max="10" width="7.23046875" style="62" customWidth="1"/>
    <col min="11" max="11" width="7.84375" style="62" customWidth="1"/>
    <col min="12" max="15" width="8.69140625" style="62" customWidth="1"/>
    <col min="16" max="16" width="7.84375" style="62" customWidth="1"/>
    <col min="17" max="18" width="8.69140625" style="62" customWidth="1"/>
    <col min="19" max="19" width="7.84375" style="62" customWidth="1"/>
    <col min="20" max="22" width="8.69140625" style="62" customWidth="1"/>
    <col min="23" max="23" width="7.84375" style="62" customWidth="1"/>
    <col min="24" max="25" width="8.69140625" style="62" customWidth="1"/>
    <col min="26" max="26" width="7.84375" style="62" customWidth="1"/>
    <col min="27" max="16384" width="8.84375" style="62"/>
  </cols>
  <sheetData>
    <row r="2" spans="1:26">
      <c r="S2" s="63"/>
      <c r="T2" s="63"/>
    </row>
    <row r="3" spans="1:26">
      <c r="A3" s="64"/>
      <c r="B3" s="65"/>
      <c r="C3" s="55"/>
      <c r="D3" s="58"/>
      <c r="E3" s="58"/>
      <c r="F3" s="58"/>
      <c r="G3" s="58"/>
      <c r="H3" s="58"/>
      <c r="I3" s="58"/>
      <c r="J3" s="57"/>
      <c r="K3" s="58"/>
      <c r="L3" s="58"/>
      <c r="M3" s="58"/>
      <c r="N3" s="58"/>
      <c r="O3" s="57"/>
      <c r="P3" s="58"/>
      <c r="Q3" s="58"/>
      <c r="R3" s="57"/>
      <c r="S3" s="66"/>
      <c r="T3" s="67"/>
      <c r="U3" s="67"/>
      <c r="V3" s="67"/>
      <c r="W3" s="67"/>
      <c r="X3" s="67"/>
      <c r="Y3" s="67"/>
      <c r="Z3" s="67"/>
    </row>
    <row r="4" spans="1:26">
      <c r="A4" s="64"/>
      <c r="B4" s="65"/>
      <c r="C4" s="55"/>
      <c r="D4" s="56"/>
      <c r="E4" s="56"/>
      <c r="F4" s="56"/>
      <c r="G4" s="56"/>
      <c r="H4" s="56"/>
      <c r="I4" s="56"/>
      <c r="J4" s="60"/>
      <c r="K4" s="55"/>
      <c r="L4" s="68"/>
      <c r="M4" s="56"/>
      <c r="N4" s="56"/>
      <c r="O4" s="60"/>
      <c r="P4" s="55"/>
      <c r="Q4" s="68"/>
      <c r="R4" s="60"/>
      <c r="S4" s="69"/>
      <c r="T4" s="67"/>
      <c r="U4" s="67"/>
      <c r="V4" s="67"/>
      <c r="W4" s="67"/>
      <c r="X4" s="67"/>
      <c r="Y4" s="67"/>
      <c r="Z4" s="67"/>
    </row>
    <row r="5" spans="1:26">
      <c r="A5" s="70"/>
      <c r="B5" s="71"/>
      <c r="C5" s="64"/>
      <c r="D5" s="72"/>
      <c r="E5" s="72"/>
      <c r="F5" s="72"/>
      <c r="G5" s="72"/>
      <c r="H5" s="72"/>
      <c r="I5" s="72"/>
      <c r="J5" s="72"/>
      <c r="K5" s="61"/>
      <c r="L5" s="73"/>
      <c r="M5" s="74"/>
      <c r="N5" s="74"/>
      <c r="O5" s="74"/>
      <c r="P5" s="75"/>
      <c r="Q5" s="73"/>
      <c r="R5" s="74"/>
      <c r="S5" s="76"/>
      <c r="T5" s="67"/>
      <c r="U5" s="67"/>
      <c r="V5" s="67"/>
      <c r="W5" s="67"/>
      <c r="X5" s="67"/>
      <c r="Y5" s="67"/>
      <c r="Z5" s="67"/>
    </row>
    <row r="6" spans="1:26" s="82" customFormat="1">
      <c r="A6" s="77"/>
      <c r="B6" s="78"/>
      <c r="C6" s="78"/>
      <c r="D6" s="78"/>
      <c r="E6" s="78"/>
      <c r="F6" s="78"/>
      <c r="G6" s="78"/>
      <c r="H6" s="78"/>
      <c r="I6" s="78"/>
      <c r="J6" s="78"/>
      <c r="K6" s="79"/>
      <c r="L6" s="80"/>
      <c r="M6" s="78"/>
      <c r="N6" s="78"/>
      <c r="O6" s="78"/>
      <c r="P6" s="79"/>
      <c r="Q6" s="80"/>
      <c r="R6" s="78"/>
      <c r="S6" s="81"/>
      <c r="T6" s="67"/>
      <c r="U6" s="67"/>
      <c r="V6" s="67"/>
      <c r="W6" s="67"/>
      <c r="X6" s="67"/>
      <c r="Y6" s="67"/>
      <c r="Z6" s="67"/>
    </row>
    <row r="7" spans="1:26" s="82" customFormat="1">
      <c r="A7" s="83"/>
      <c r="B7" s="84"/>
      <c r="C7" s="84"/>
      <c r="D7" s="84"/>
      <c r="E7" s="84"/>
      <c r="F7" s="84"/>
      <c r="G7" s="84"/>
      <c r="H7" s="84"/>
      <c r="I7" s="84"/>
      <c r="J7" s="84"/>
      <c r="K7" s="85"/>
      <c r="L7" s="86"/>
      <c r="M7" s="84"/>
      <c r="N7" s="84"/>
      <c r="O7" s="84"/>
      <c r="P7" s="85"/>
      <c r="Q7" s="86"/>
      <c r="R7" s="84"/>
      <c r="S7" s="87"/>
      <c r="T7" s="67"/>
      <c r="U7" s="67"/>
      <c r="V7" s="67"/>
      <c r="W7" s="67"/>
      <c r="X7" s="67"/>
      <c r="Y7" s="67"/>
      <c r="Z7" s="67"/>
    </row>
    <row r="8" spans="1:26" s="82" customFormat="1">
      <c r="A8" s="83"/>
      <c r="B8" s="78"/>
      <c r="C8" s="78"/>
      <c r="D8" s="78"/>
      <c r="E8" s="78"/>
      <c r="F8" s="78"/>
      <c r="G8" s="78"/>
      <c r="H8" s="78"/>
      <c r="I8" s="78"/>
      <c r="J8" s="78"/>
      <c r="K8" s="79"/>
      <c r="L8" s="80"/>
      <c r="M8" s="78"/>
      <c r="N8" s="78"/>
      <c r="O8" s="78"/>
      <c r="P8" s="79"/>
      <c r="Q8" s="80"/>
      <c r="R8" s="78"/>
      <c r="S8" s="81"/>
      <c r="T8" s="67"/>
      <c r="U8" s="67"/>
      <c r="V8" s="67"/>
      <c r="W8" s="67"/>
      <c r="X8" s="67"/>
      <c r="Y8" s="67"/>
      <c r="Z8" s="67"/>
    </row>
    <row r="9" spans="1:26" s="82" customFormat="1">
      <c r="A9" s="83"/>
      <c r="B9" s="84"/>
      <c r="C9" s="84"/>
      <c r="D9" s="84"/>
      <c r="E9" s="84"/>
      <c r="F9" s="84"/>
      <c r="G9" s="84"/>
      <c r="H9" s="84"/>
      <c r="I9" s="84"/>
      <c r="J9" s="84"/>
      <c r="K9" s="85"/>
      <c r="L9" s="86"/>
      <c r="M9" s="84"/>
      <c r="N9" s="84"/>
      <c r="O9" s="84"/>
      <c r="P9" s="85"/>
      <c r="Q9" s="86"/>
      <c r="R9" s="84"/>
      <c r="S9" s="87"/>
      <c r="T9" s="67"/>
      <c r="U9" s="67"/>
      <c r="V9" s="67"/>
      <c r="W9" s="67"/>
      <c r="X9" s="67"/>
      <c r="Y9" s="67"/>
      <c r="Z9" s="67"/>
    </row>
    <row r="10" spans="1:26" s="82" customFormat="1">
      <c r="A10" s="83"/>
      <c r="B10" s="78"/>
      <c r="C10" s="78"/>
      <c r="D10" s="78"/>
      <c r="E10" s="78"/>
      <c r="F10" s="78"/>
      <c r="G10" s="78"/>
      <c r="H10" s="78"/>
      <c r="I10" s="78"/>
      <c r="J10" s="78"/>
      <c r="K10" s="79"/>
      <c r="L10" s="80"/>
      <c r="M10" s="78"/>
      <c r="N10" s="78"/>
      <c r="O10" s="78"/>
      <c r="P10" s="79"/>
      <c r="Q10" s="80"/>
      <c r="R10" s="78"/>
      <c r="S10" s="81"/>
      <c r="T10" s="67"/>
      <c r="U10" s="67"/>
      <c r="V10" s="67"/>
      <c r="W10" s="67"/>
      <c r="X10" s="67"/>
      <c r="Y10" s="67"/>
      <c r="Z10" s="67"/>
    </row>
    <row r="11" spans="1:26" s="82" customFormat="1">
      <c r="A11" s="83"/>
      <c r="B11" s="84"/>
      <c r="C11" s="84"/>
      <c r="D11" s="84"/>
      <c r="E11" s="84"/>
      <c r="F11" s="84"/>
      <c r="G11" s="84"/>
      <c r="H11" s="84"/>
      <c r="I11" s="84"/>
      <c r="J11" s="84"/>
      <c r="K11" s="85"/>
      <c r="L11" s="86"/>
      <c r="M11" s="84"/>
      <c r="N11" s="84"/>
      <c r="O11" s="84"/>
      <c r="P11" s="85"/>
      <c r="Q11" s="86"/>
      <c r="R11" s="84"/>
      <c r="S11" s="87"/>
      <c r="T11" s="67"/>
      <c r="U11" s="67"/>
      <c r="V11" s="67"/>
      <c r="W11" s="67"/>
      <c r="X11" s="67"/>
      <c r="Y11" s="67"/>
      <c r="Z11" s="67"/>
    </row>
    <row r="12" spans="1:26" s="82" customFormat="1">
      <c r="A12" s="83"/>
      <c r="B12" s="78"/>
      <c r="C12" s="78"/>
      <c r="D12" s="78"/>
      <c r="E12" s="78"/>
      <c r="F12" s="78"/>
      <c r="G12" s="78"/>
      <c r="H12" s="78"/>
      <c r="I12" s="78"/>
      <c r="J12" s="78"/>
      <c r="K12" s="79"/>
      <c r="L12" s="80"/>
      <c r="M12" s="78"/>
      <c r="N12" s="78"/>
      <c r="O12" s="78"/>
      <c r="P12" s="79"/>
      <c r="Q12" s="80"/>
      <c r="R12" s="78"/>
      <c r="S12" s="81"/>
      <c r="T12" s="67"/>
      <c r="U12" s="67"/>
      <c r="V12" s="67"/>
      <c r="W12" s="67"/>
      <c r="X12" s="67"/>
      <c r="Y12" s="67"/>
      <c r="Z12" s="67"/>
    </row>
    <row r="13" spans="1:26" s="82" customFormat="1">
      <c r="A13" s="88"/>
      <c r="B13" s="84"/>
      <c r="C13" s="84"/>
      <c r="D13" s="84"/>
      <c r="E13" s="84"/>
      <c r="F13" s="84"/>
      <c r="G13" s="84"/>
      <c r="H13" s="84"/>
      <c r="I13" s="84"/>
      <c r="J13" s="84"/>
      <c r="K13" s="85"/>
      <c r="L13" s="86"/>
      <c r="M13" s="84"/>
      <c r="N13" s="84"/>
      <c r="O13" s="84"/>
      <c r="P13" s="85"/>
      <c r="Q13" s="86"/>
      <c r="R13" s="84"/>
      <c r="S13" s="87"/>
      <c r="T13" s="67"/>
      <c r="U13" s="67"/>
      <c r="V13" s="67"/>
      <c r="W13" s="67"/>
      <c r="X13" s="67"/>
      <c r="Y13" s="67"/>
      <c r="Z13" s="67"/>
    </row>
    <row r="14" spans="1:26" s="82" customFormat="1">
      <c r="A14" s="77"/>
      <c r="B14" s="78"/>
      <c r="C14" s="78"/>
      <c r="D14" s="78"/>
      <c r="E14" s="78"/>
      <c r="F14" s="78"/>
      <c r="G14" s="78"/>
      <c r="H14" s="78"/>
      <c r="I14" s="78"/>
      <c r="J14" s="78"/>
      <c r="K14" s="80"/>
      <c r="L14" s="78"/>
      <c r="M14" s="78"/>
      <c r="N14" s="78"/>
      <c r="O14" s="78"/>
      <c r="P14" s="80"/>
      <c r="Q14" s="78"/>
      <c r="R14" s="89"/>
      <c r="S14" s="81"/>
      <c r="T14" s="67"/>
      <c r="U14" s="67"/>
      <c r="V14" s="67"/>
      <c r="W14" s="67"/>
      <c r="X14" s="67"/>
      <c r="Y14" s="67"/>
      <c r="Z14" s="67"/>
    </row>
    <row r="15" spans="1:26" s="82" customFormat="1">
      <c r="A15" s="83"/>
      <c r="B15" s="84"/>
      <c r="C15" s="84"/>
      <c r="D15" s="84"/>
      <c r="E15" s="84"/>
      <c r="F15" s="84"/>
      <c r="G15" s="84"/>
      <c r="H15" s="84"/>
      <c r="I15" s="84"/>
      <c r="J15" s="84"/>
      <c r="K15" s="86"/>
      <c r="L15" s="84"/>
      <c r="M15" s="84"/>
      <c r="N15" s="84"/>
      <c r="O15" s="84"/>
      <c r="P15" s="86"/>
      <c r="Q15" s="84"/>
      <c r="R15" s="90"/>
      <c r="S15" s="87"/>
      <c r="T15" s="67"/>
      <c r="U15" s="67"/>
      <c r="V15" s="67"/>
      <c r="W15" s="67"/>
      <c r="X15" s="67"/>
      <c r="Y15" s="67"/>
      <c r="Z15" s="67"/>
    </row>
    <row r="16" spans="1:26" s="82" customFormat="1">
      <c r="A16" s="83"/>
      <c r="B16" s="78"/>
      <c r="C16" s="78"/>
      <c r="D16" s="78"/>
      <c r="E16" s="78"/>
      <c r="F16" s="78"/>
      <c r="G16" s="78"/>
      <c r="H16" s="78"/>
      <c r="I16" s="78"/>
      <c r="J16" s="78"/>
      <c r="K16" s="91"/>
      <c r="L16" s="78"/>
      <c r="M16" s="78"/>
      <c r="N16" s="78"/>
      <c r="O16" s="78"/>
      <c r="P16" s="91"/>
      <c r="Q16" s="78"/>
      <c r="R16" s="89"/>
      <c r="S16" s="81"/>
      <c r="T16" s="67"/>
      <c r="U16" s="67"/>
      <c r="V16" s="67"/>
      <c r="W16" s="67"/>
      <c r="X16" s="67"/>
      <c r="Y16" s="67"/>
      <c r="Z16" s="67"/>
    </row>
    <row r="17" spans="1:26" s="82" customFormat="1">
      <c r="A17" s="83"/>
      <c r="B17" s="84"/>
      <c r="C17" s="84"/>
      <c r="D17" s="84"/>
      <c r="E17" s="84"/>
      <c r="F17" s="84"/>
      <c r="G17" s="84"/>
      <c r="H17" s="84"/>
      <c r="I17" s="84"/>
      <c r="J17" s="84"/>
      <c r="K17" s="92"/>
      <c r="L17" s="84"/>
      <c r="M17" s="84"/>
      <c r="N17" s="84"/>
      <c r="O17" s="84"/>
      <c r="P17" s="92"/>
      <c r="Q17" s="84"/>
      <c r="R17" s="90"/>
      <c r="S17" s="87"/>
      <c r="T17" s="67"/>
      <c r="U17" s="67"/>
      <c r="V17" s="67"/>
      <c r="W17" s="67"/>
      <c r="X17" s="67"/>
      <c r="Y17" s="67"/>
      <c r="Z17" s="67"/>
    </row>
    <row r="18" spans="1:26" s="82" customFormat="1">
      <c r="A18" s="83"/>
      <c r="B18" s="78"/>
      <c r="C18" s="78"/>
      <c r="D18" s="78"/>
      <c r="E18" s="78"/>
      <c r="F18" s="78"/>
      <c r="G18" s="78"/>
      <c r="H18" s="78"/>
      <c r="I18" s="78"/>
      <c r="J18" s="78"/>
      <c r="K18" s="80"/>
      <c r="L18" s="78"/>
      <c r="M18" s="78"/>
      <c r="N18" s="78"/>
      <c r="O18" s="78"/>
      <c r="P18" s="80"/>
      <c r="Q18" s="78"/>
      <c r="R18" s="89"/>
      <c r="S18" s="81"/>
      <c r="T18" s="67"/>
      <c r="U18" s="67"/>
      <c r="V18" s="67"/>
      <c r="W18" s="67"/>
      <c r="X18" s="67"/>
      <c r="Y18" s="67"/>
      <c r="Z18" s="67"/>
    </row>
    <row r="19" spans="1:26" s="82" customFormat="1">
      <c r="A19" s="83"/>
      <c r="B19" s="84"/>
      <c r="C19" s="84"/>
      <c r="D19" s="84"/>
      <c r="E19" s="84"/>
      <c r="F19" s="84"/>
      <c r="G19" s="84"/>
      <c r="H19" s="84"/>
      <c r="I19" s="84"/>
      <c r="J19" s="84"/>
      <c r="K19" s="86"/>
      <c r="L19" s="84"/>
      <c r="M19" s="84"/>
      <c r="N19" s="84"/>
      <c r="O19" s="84"/>
      <c r="P19" s="86"/>
      <c r="Q19" s="84"/>
      <c r="R19" s="90"/>
      <c r="S19" s="87"/>
      <c r="T19" s="67"/>
      <c r="U19" s="67"/>
      <c r="V19" s="67"/>
      <c r="W19" s="67"/>
      <c r="X19" s="67"/>
      <c r="Y19" s="67"/>
      <c r="Z19" s="67"/>
    </row>
    <row r="20" spans="1:26" s="82" customFormat="1">
      <c r="A20" s="83"/>
      <c r="B20" s="78"/>
      <c r="C20" s="78"/>
      <c r="D20" s="78"/>
      <c r="E20" s="78"/>
      <c r="F20" s="78"/>
      <c r="G20" s="78"/>
      <c r="H20" s="78"/>
      <c r="I20" s="78"/>
      <c r="J20" s="78"/>
      <c r="K20" s="80"/>
      <c r="L20" s="78"/>
      <c r="M20" s="78"/>
      <c r="N20" s="78"/>
      <c r="O20" s="78"/>
      <c r="P20" s="80"/>
      <c r="Q20" s="78"/>
      <c r="R20" s="89"/>
      <c r="S20" s="81"/>
      <c r="T20" s="67"/>
      <c r="U20" s="67"/>
      <c r="V20" s="67"/>
      <c r="W20" s="67"/>
      <c r="X20" s="67"/>
      <c r="Y20" s="67"/>
      <c r="Z20" s="67"/>
    </row>
    <row r="21" spans="1:26" s="82" customFormat="1">
      <c r="A21" s="88"/>
      <c r="B21" s="84"/>
      <c r="C21" s="84"/>
      <c r="D21" s="84"/>
      <c r="E21" s="84"/>
      <c r="F21" s="84"/>
      <c r="G21" s="84"/>
      <c r="H21" s="84"/>
      <c r="I21" s="84"/>
      <c r="J21" s="84"/>
      <c r="K21" s="86"/>
      <c r="L21" s="84"/>
      <c r="M21" s="84"/>
      <c r="N21" s="84"/>
      <c r="O21" s="84"/>
      <c r="P21" s="86"/>
      <c r="Q21" s="84"/>
      <c r="R21" s="90"/>
      <c r="S21" s="87"/>
      <c r="T21" s="67"/>
      <c r="U21" s="67"/>
      <c r="V21" s="67"/>
      <c r="W21" s="67"/>
      <c r="X21" s="67"/>
      <c r="Y21" s="67"/>
      <c r="Z21" s="67"/>
    </row>
    <row r="22" spans="1:26" s="82" customFormat="1">
      <c r="A22" s="77"/>
      <c r="B22" s="78"/>
      <c r="C22" s="78"/>
      <c r="D22" s="78"/>
      <c r="E22" s="78"/>
      <c r="F22" s="78"/>
      <c r="G22" s="78"/>
      <c r="H22" s="78"/>
      <c r="I22" s="78"/>
      <c r="J22" s="78"/>
      <c r="K22" s="80"/>
      <c r="L22" s="78"/>
      <c r="M22" s="78"/>
      <c r="N22" s="78"/>
      <c r="O22" s="78"/>
      <c r="P22" s="80"/>
      <c r="Q22" s="78"/>
      <c r="R22" s="89"/>
      <c r="S22" s="81"/>
      <c r="T22" s="67"/>
      <c r="U22" s="67"/>
      <c r="V22" s="67"/>
      <c r="W22" s="67"/>
      <c r="X22" s="67"/>
      <c r="Y22" s="67"/>
      <c r="Z22" s="67"/>
    </row>
    <row r="23" spans="1:26" s="82" customFormat="1">
      <c r="A23" s="83"/>
      <c r="B23" s="84"/>
      <c r="C23" s="84"/>
      <c r="D23" s="84"/>
      <c r="E23" s="84"/>
      <c r="F23" s="84"/>
      <c r="G23" s="84"/>
      <c r="H23" s="84"/>
      <c r="I23" s="84"/>
      <c r="J23" s="84"/>
      <c r="K23" s="86"/>
      <c r="L23" s="84"/>
      <c r="M23" s="84"/>
      <c r="N23" s="84"/>
      <c r="O23" s="84"/>
      <c r="P23" s="86"/>
      <c r="Q23" s="84"/>
      <c r="R23" s="90"/>
      <c r="S23" s="87"/>
      <c r="T23" s="67"/>
      <c r="U23" s="67"/>
      <c r="V23" s="67"/>
      <c r="W23" s="67"/>
      <c r="X23" s="67"/>
      <c r="Y23" s="67"/>
      <c r="Z23" s="67"/>
    </row>
    <row r="24" spans="1:26" s="82" customFormat="1">
      <c r="A24" s="83"/>
      <c r="B24" s="78"/>
      <c r="C24" s="78"/>
      <c r="D24" s="78"/>
      <c r="E24" s="78"/>
      <c r="F24" s="78"/>
      <c r="G24" s="78"/>
      <c r="H24" s="78"/>
      <c r="I24" s="78"/>
      <c r="J24" s="78"/>
      <c r="K24" s="80"/>
      <c r="L24" s="78"/>
      <c r="M24" s="78"/>
      <c r="N24" s="78"/>
      <c r="O24" s="78"/>
      <c r="P24" s="80"/>
      <c r="Q24" s="78"/>
      <c r="R24" s="89"/>
      <c r="S24" s="81"/>
      <c r="T24" s="67"/>
      <c r="U24" s="67"/>
      <c r="V24" s="67"/>
      <c r="W24" s="67"/>
      <c r="X24" s="67"/>
      <c r="Y24" s="67"/>
      <c r="Z24" s="67"/>
    </row>
    <row r="25" spans="1:26" s="82" customFormat="1">
      <c r="A25" s="83"/>
      <c r="B25" s="84"/>
      <c r="C25" s="84"/>
      <c r="D25" s="84"/>
      <c r="E25" s="84"/>
      <c r="F25" s="84"/>
      <c r="G25" s="84"/>
      <c r="H25" s="84"/>
      <c r="I25" s="84"/>
      <c r="J25" s="84"/>
      <c r="K25" s="86"/>
      <c r="L25" s="84"/>
      <c r="M25" s="84"/>
      <c r="N25" s="84"/>
      <c r="O25" s="84"/>
      <c r="P25" s="86"/>
      <c r="Q25" s="84"/>
      <c r="R25" s="90"/>
      <c r="S25" s="87"/>
      <c r="T25" s="67"/>
      <c r="U25" s="67"/>
      <c r="V25" s="67"/>
      <c r="W25" s="67"/>
      <c r="X25" s="67"/>
      <c r="Y25" s="67"/>
      <c r="Z25" s="67"/>
    </row>
    <row r="26" spans="1:26" s="82" customFormat="1">
      <c r="A26" s="83"/>
      <c r="B26" s="78"/>
      <c r="C26" s="78"/>
      <c r="D26" s="78"/>
      <c r="E26" s="78"/>
      <c r="F26" s="78"/>
      <c r="G26" s="78"/>
      <c r="H26" s="78"/>
      <c r="I26" s="78"/>
      <c r="J26" s="78"/>
      <c r="K26" s="80"/>
      <c r="L26" s="78"/>
      <c r="M26" s="78"/>
      <c r="N26" s="78"/>
      <c r="O26" s="78"/>
      <c r="P26" s="80"/>
      <c r="Q26" s="78"/>
      <c r="R26" s="89"/>
      <c r="S26" s="81"/>
      <c r="T26" s="67"/>
      <c r="U26" s="67"/>
      <c r="V26" s="67"/>
      <c r="W26" s="67"/>
      <c r="X26" s="67"/>
      <c r="Y26" s="67"/>
      <c r="Z26" s="67"/>
    </row>
    <row r="27" spans="1:26" s="82" customFormat="1">
      <c r="A27" s="83"/>
      <c r="B27" s="84"/>
      <c r="C27" s="84"/>
      <c r="D27" s="84"/>
      <c r="E27" s="84"/>
      <c r="F27" s="84"/>
      <c r="G27" s="84"/>
      <c r="H27" s="84"/>
      <c r="I27" s="84"/>
      <c r="J27" s="84"/>
      <c r="K27" s="86"/>
      <c r="L27" s="84"/>
      <c r="M27" s="84"/>
      <c r="N27" s="84"/>
      <c r="O27" s="84"/>
      <c r="P27" s="86"/>
      <c r="Q27" s="84"/>
      <c r="R27" s="90"/>
      <c r="S27" s="87"/>
      <c r="T27" s="67"/>
      <c r="U27" s="67"/>
      <c r="V27" s="67"/>
      <c r="W27" s="67"/>
      <c r="X27" s="67"/>
      <c r="Y27" s="67"/>
      <c r="Z27" s="67"/>
    </row>
    <row r="28" spans="1:26" s="82" customFormat="1">
      <c r="A28" s="83"/>
      <c r="B28" s="78"/>
      <c r="C28" s="78"/>
      <c r="D28" s="78"/>
      <c r="E28" s="78"/>
      <c r="F28" s="78"/>
      <c r="G28" s="78"/>
      <c r="H28" s="78"/>
      <c r="I28" s="78"/>
      <c r="J28" s="78"/>
      <c r="K28" s="80"/>
      <c r="L28" s="78"/>
      <c r="M28" s="78"/>
      <c r="N28" s="78"/>
      <c r="O28" s="78"/>
      <c r="P28" s="80"/>
      <c r="Q28" s="78"/>
      <c r="R28" s="89"/>
      <c r="S28" s="81"/>
      <c r="T28" s="67"/>
      <c r="U28" s="67"/>
      <c r="V28" s="67"/>
      <c r="W28" s="67"/>
      <c r="X28" s="67"/>
      <c r="Y28" s="67"/>
      <c r="Z28" s="67"/>
    </row>
    <row r="29" spans="1:26" s="82" customFormat="1">
      <c r="A29" s="88"/>
      <c r="B29" s="84"/>
      <c r="C29" s="84"/>
      <c r="D29" s="84"/>
      <c r="E29" s="84"/>
      <c r="F29" s="84"/>
      <c r="G29" s="84"/>
      <c r="H29" s="84"/>
      <c r="I29" s="84"/>
      <c r="J29" s="84"/>
      <c r="K29" s="86"/>
      <c r="L29" s="84"/>
      <c r="M29" s="84"/>
      <c r="N29" s="84"/>
      <c r="O29" s="84"/>
      <c r="P29" s="86"/>
      <c r="Q29" s="84"/>
      <c r="R29" s="90"/>
      <c r="S29" s="87"/>
      <c r="T29" s="67"/>
      <c r="U29" s="67"/>
      <c r="V29" s="67"/>
      <c r="W29" s="67"/>
      <c r="X29" s="67"/>
      <c r="Y29" s="67"/>
      <c r="Z29" s="67"/>
    </row>
    <row r="30" spans="1:26" s="82" customFormat="1">
      <c r="A30" s="77"/>
      <c r="B30" s="78"/>
      <c r="C30" s="78"/>
      <c r="D30" s="78"/>
      <c r="E30" s="78"/>
      <c r="F30" s="78"/>
      <c r="G30" s="78"/>
      <c r="H30" s="78"/>
      <c r="I30" s="78"/>
      <c r="J30" s="78"/>
      <c r="K30" s="80"/>
      <c r="L30" s="78"/>
      <c r="M30" s="78"/>
      <c r="N30" s="78"/>
      <c r="O30" s="78"/>
      <c r="P30" s="80"/>
      <c r="Q30" s="78"/>
      <c r="R30" s="89"/>
      <c r="S30" s="81"/>
      <c r="T30" s="67"/>
      <c r="U30" s="67"/>
      <c r="V30" s="67"/>
      <c r="W30" s="67"/>
      <c r="X30" s="67"/>
      <c r="Y30" s="67"/>
      <c r="Z30" s="67"/>
    </row>
    <row r="31" spans="1:26" s="82" customFormat="1">
      <c r="A31" s="83"/>
      <c r="B31" s="84"/>
      <c r="C31" s="84"/>
      <c r="D31" s="84"/>
      <c r="E31" s="84"/>
      <c r="F31" s="84"/>
      <c r="G31" s="84"/>
      <c r="H31" s="84"/>
      <c r="I31" s="84"/>
      <c r="J31" s="84"/>
      <c r="K31" s="86"/>
      <c r="L31" s="84"/>
      <c r="M31" s="84"/>
      <c r="N31" s="84"/>
      <c r="O31" s="84"/>
      <c r="P31" s="86"/>
      <c r="Q31" s="84"/>
      <c r="R31" s="90"/>
      <c r="S31" s="87"/>
      <c r="T31" s="67"/>
      <c r="U31" s="67"/>
      <c r="V31" s="67"/>
      <c r="W31" s="67"/>
      <c r="X31" s="67"/>
      <c r="Y31" s="67"/>
      <c r="Z31" s="67"/>
    </row>
    <row r="32" spans="1:26" s="82" customFormat="1">
      <c r="A32" s="83"/>
      <c r="B32" s="78"/>
      <c r="C32" s="78"/>
      <c r="D32" s="78"/>
      <c r="E32" s="78"/>
      <c r="F32" s="78"/>
      <c r="G32" s="78"/>
      <c r="H32" s="78"/>
      <c r="I32" s="78"/>
      <c r="J32" s="78"/>
      <c r="K32" s="80"/>
      <c r="L32" s="78"/>
      <c r="M32" s="78"/>
      <c r="N32" s="78"/>
      <c r="O32" s="78"/>
      <c r="P32" s="80"/>
      <c r="Q32" s="78"/>
      <c r="R32" s="89"/>
      <c r="S32" s="81"/>
      <c r="T32" s="67"/>
      <c r="U32" s="67"/>
      <c r="V32" s="67"/>
      <c r="W32" s="67"/>
      <c r="X32" s="67"/>
      <c r="Y32" s="67"/>
      <c r="Z32" s="67"/>
    </row>
    <row r="33" spans="1:26" s="82" customFormat="1">
      <c r="A33" s="83"/>
      <c r="B33" s="84"/>
      <c r="C33" s="84"/>
      <c r="D33" s="84"/>
      <c r="E33" s="84"/>
      <c r="F33" s="84"/>
      <c r="G33" s="84"/>
      <c r="H33" s="84"/>
      <c r="I33" s="84"/>
      <c r="J33" s="84"/>
      <c r="K33" s="86"/>
      <c r="L33" s="84"/>
      <c r="M33" s="84"/>
      <c r="N33" s="84"/>
      <c r="O33" s="84"/>
      <c r="P33" s="86"/>
      <c r="Q33" s="84"/>
      <c r="R33" s="90"/>
      <c r="S33" s="87"/>
      <c r="T33" s="67"/>
      <c r="U33" s="67"/>
      <c r="V33" s="67"/>
      <c r="W33" s="67"/>
      <c r="X33" s="67"/>
      <c r="Y33" s="67"/>
      <c r="Z33" s="67"/>
    </row>
    <row r="34" spans="1:26" s="82" customFormat="1">
      <c r="A34" s="83"/>
      <c r="B34" s="78"/>
      <c r="C34" s="78"/>
      <c r="D34" s="78"/>
      <c r="E34" s="78"/>
      <c r="F34" s="78"/>
      <c r="G34" s="78"/>
      <c r="H34" s="78"/>
      <c r="I34" s="78"/>
      <c r="J34" s="78"/>
      <c r="K34" s="80"/>
      <c r="L34" s="78"/>
      <c r="M34" s="78"/>
      <c r="N34" s="78"/>
      <c r="O34" s="78"/>
      <c r="P34" s="80"/>
      <c r="Q34" s="78"/>
      <c r="R34" s="89"/>
      <c r="S34" s="81"/>
      <c r="T34" s="67"/>
      <c r="U34" s="67"/>
      <c r="V34" s="67"/>
      <c r="W34" s="67"/>
      <c r="X34" s="67"/>
      <c r="Y34" s="67"/>
      <c r="Z34" s="67"/>
    </row>
    <row r="35" spans="1:26" s="82" customFormat="1">
      <c r="A35" s="83"/>
      <c r="B35" s="84"/>
      <c r="C35" s="84"/>
      <c r="D35" s="84"/>
      <c r="E35" s="84"/>
      <c r="F35" s="84"/>
      <c r="G35" s="84"/>
      <c r="H35" s="84"/>
      <c r="I35" s="84"/>
      <c r="J35" s="84"/>
      <c r="K35" s="86"/>
      <c r="L35" s="84"/>
      <c r="M35" s="84"/>
      <c r="N35" s="84"/>
      <c r="O35" s="84"/>
      <c r="P35" s="86"/>
      <c r="Q35" s="84"/>
      <c r="R35" s="90"/>
      <c r="S35" s="87"/>
      <c r="T35" s="67"/>
      <c r="U35" s="67"/>
      <c r="V35" s="67"/>
      <c r="W35" s="67"/>
      <c r="X35" s="67"/>
      <c r="Y35" s="67"/>
      <c r="Z35" s="67"/>
    </row>
    <row r="36" spans="1:26" s="82" customFormat="1">
      <c r="A36" s="83"/>
      <c r="B36" s="78"/>
      <c r="C36" s="78"/>
      <c r="D36" s="78"/>
      <c r="E36" s="78"/>
      <c r="F36" s="78"/>
      <c r="G36" s="78"/>
      <c r="H36" s="78"/>
      <c r="I36" s="78"/>
      <c r="J36" s="78"/>
      <c r="K36" s="80"/>
      <c r="L36" s="78"/>
      <c r="M36" s="78"/>
      <c r="N36" s="78"/>
      <c r="O36" s="78"/>
      <c r="P36" s="80"/>
      <c r="Q36" s="78"/>
      <c r="R36" s="89"/>
      <c r="S36" s="81"/>
      <c r="T36" s="67"/>
      <c r="U36" s="67"/>
      <c r="V36" s="67"/>
      <c r="W36" s="67"/>
      <c r="X36" s="67"/>
      <c r="Y36" s="67"/>
      <c r="Z36" s="67"/>
    </row>
    <row r="37" spans="1:26" s="82" customFormat="1">
      <c r="A37" s="88"/>
      <c r="B37" s="84"/>
      <c r="C37" s="84"/>
      <c r="D37" s="84"/>
      <c r="E37" s="84"/>
      <c r="F37" s="84"/>
      <c r="G37" s="84"/>
      <c r="H37" s="84"/>
      <c r="I37" s="84"/>
      <c r="J37" s="84"/>
      <c r="K37" s="86"/>
      <c r="L37" s="84"/>
      <c r="M37" s="84"/>
      <c r="N37" s="84"/>
      <c r="O37" s="84"/>
      <c r="P37" s="86"/>
      <c r="Q37" s="84"/>
      <c r="R37" s="90"/>
      <c r="S37" s="87"/>
      <c r="T37" s="67"/>
      <c r="U37" s="67"/>
      <c r="V37" s="67"/>
      <c r="W37" s="67"/>
      <c r="X37" s="67"/>
      <c r="Y37" s="67"/>
      <c r="Z37" s="67"/>
    </row>
    <row r="38" spans="1:26" s="82" customFormat="1">
      <c r="A38" s="77"/>
      <c r="B38" s="78"/>
      <c r="C38" s="78"/>
      <c r="D38" s="78"/>
      <c r="E38" s="78"/>
      <c r="F38" s="78"/>
      <c r="G38" s="78"/>
      <c r="H38" s="78"/>
      <c r="I38" s="78"/>
      <c r="J38" s="78"/>
      <c r="K38" s="80"/>
      <c r="L38" s="78"/>
      <c r="M38" s="78"/>
      <c r="N38" s="78"/>
      <c r="O38" s="78"/>
      <c r="P38" s="80"/>
      <c r="Q38" s="78"/>
      <c r="R38" s="89"/>
      <c r="S38" s="81"/>
      <c r="T38" s="67"/>
      <c r="U38" s="67"/>
      <c r="V38" s="67"/>
      <c r="W38" s="67"/>
      <c r="X38" s="67"/>
      <c r="Y38" s="67"/>
      <c r="Z38" s="67"/>
    </row>
    <row r="39" spans="1:26" s="82" customFormat="1">
      <c r="A39" s="83"/>
      <c r="B39" s="84"/>
      <c r="C39" s="84"/>
      <c r="D39" s="84"/>
      <c r="E39" s="84"/>
      <c r="F39" s="84"/>
      <c r="G39" s="84"/>
      <c r="H39" s="84"/>
      <c r="I39" s="84"/>
      <c r="J39" s="84"/>
      <c r="K39" s="86"/>
      <c r="L39" s="84"/>
      <c r="M39" s="84"/>
      <c r="N39" s="84"/>
      <c r="O39" s="84"/>
      <c r="P39" s="86"/>
      <c r="Q39" s="84"/>
      <c r="R39" s="90"/>
      <c r="S39" s="87"/>
      <c r="T39" s="67"/>
      <c r="U39" s="67"/>
      <c r="V39" s="67"/>
      <c r="W39" s="67"/>
      <c r="X39" s="67"/>
      <c r="Y39" s="67"/>
      <c r="Z39" s="67"/>
    </row>
    <row r="40" spans="1:26" s="82" customFormat="1">
      <c r="A40" s="83"/>
      <c r="B40" s="78"/>
      <c r="C40" s="78"/>
      <c r="D40" s="78"/>
      <c r="E40" s="78"/>
      <c r="F40" s="78"/>
      <c r="G40" s="78"/>
      <c r="H40" s="78"/>
      <c r="I40" s="78"/>
      <c r="J40" s="78"/>
      <c r="K40" s="80"/>
      <c r="L40" s="78"/>
      <c r="M40" s="78"/>
      <c r="N40" s="78"/>
      <c r="O40" s="78"/>
      <c r="P40" s="80"/>
      <c r="Q40" s="78"/>
      <c r="R40" s="89"/>
      <c r="S40" s="81"/>
      <c r="T40" s="67"/>
      <c r="U40" s="67"/>
      <c r="V40" s="67"/>
      <c r="W40" s="67"/>
      <c r="X40" s="67"/>
      <c r="Y40" s="67"/>
      <c r="Z40" s="67"/>
    </row>
    <row r="41" spans="1:26" s="82" customFormat="1">
      <c r="A41" s="83"/>
      <c r="B41" s="84"/>
      <c r="C41" s="84"/>
      <c r="D41" s="84"/>
      <c r="E41" s="84"/>
      <c r="F41" s="84"/>
      <c r="G41" s="84"/>
      <c r="H41" s="84"/>
      <c r="I41" s="84"/>
      <c r="J41" s="84"/>
      <c r="K41" s="86"/>
      <c r="L41" s="84"/>
      <c r="M41" s="84"/>
      <c r="N41" s="84"/>
      <c r="O41" s="84"/>
      <c r="P41" s="86"/>
      <c r="Q41" s="84"/>
      <c r="R41" s="90"/>
      <c r="S41" s="87"/>
      <c r="T41" s="67"/>
      <c r="U41" s="67"/>
      <c r="V41" s="67"/>
      <c r="W41" s="67"/>
      <c r="X41" s="67"/>
      <c r="Y41" s="67"/>
      <c r="Z41" s="67"/>
    </row>
    <row r="42" spans="1:26" s="82" customFormat="1">
      <c r="A42" s="83"/>
      <c r="B42" s="78"/>
      <c r="C42" s="78"/>
      <c r="D42" s="78"/>
      <c r="E42" s="78"/>
      <c r="F42" s="78"/>
      <c r="G42" s="78"/>
      <c r="H42" s="78"/>
      <c r="I42" s="78"/>
      <c r="J42" s="78"/>
      <c r="K42" s="80"/>
      <c r="L42" s="78"/>
      <c r="M42" s="78"/>
      <c r="N42" s="78"/>
      <c r="O42" s="78"/>
      <c r="P42" s="80"/>
      <c r="Q42" s="78"/>
      <c r="R42" s="89"/>
      <c r="S42" s="81"/>
      <c r="T42" s="67"/>
      <c r="U42" s="67"/>
      <c r="V42" s="67"/>
      <c r="W42" s="67"/>
      <c r="X42" s="67"/>
      <c r="Y42" s="67"/>
      <c r="Z42" s="67"/>
    </row>
    <row r="43" spans="1:26" s="82" customFormat="1">
      <c r="A43" s="83"/>
      <c r="B43" s="84"/>
      <c r="C43" s="84"/>
      <c r="D43" s="84"/>
      <c r="E43" s="84"/>
      <c r="F43" s="84"/>
      <c r="G43" s="84"/>
      <c r="H43" s="84"/>
      <c r="I43" s="84"/>
      <c r="J43" s="84"/>
      <c r="K43" s="86"/>
      <c r="L43" s="84"/>
      <c r="M43" s="84"/>
      <c r="N43" s="84"/>
      <c r="O43" s="84"/>
      <c r="P43" s="86"/>
      <c r="Q43" s="84"/>
      <c r="R43" s="90"/>
      <c r="S43" s="87"/>
      <c r="T43" s="67"/>
      <c r="U43" s="67"/>
      <c r="V43" s="67"/>
      <c r="W43" s="67"/>
      <c r="X43" s="67"/>
      <c r="Y43" s="67"/>
      <c r="Z43" s="67"/>
    </row>
    <row r="44" spans="1:26" s="82" customFormat="1">
      <c r="A44" s="83"/>
      <c r="B44" s="78"/>
      <c r="C44" s="78"/>
      <c r="D44" s="78"/>
      <c r="E44" s="78"/>
      <c r="F44" s="78"/>
      <c r="G44" s="78"/>
      <c r="H44" s="78"/>
      <c r="I44" s="78"/>
      <c r="J44" s="78"/>
      <c r="K44" s="80"/>
      <c r="L44" s="78"/>
      <c r="M44" s="78"/>
      <c r="N44" s="78"/>
      <c r="O44" s="78"/>
      <c r="P44" s="80"/>
      <c r="Q44" s="78"/>
      <c r="R44" s="89"/>
      <c r="S44" s="81"/>
      <c r="T44" s="67"/>
      <c r="U44" s="67"/>
      <c r="V44" s="67"/>
      <c r="W44" s="67"/>
      <c r="X44" s="67"/>
      <c r="Y44" s="67"/>
      <c r="Z44" s="67"/>
    </row>
    <row r="45" spans="1:26" s="82" customFormat="1">
      <c r="A45" s="88"/>
      <c r="B45" s="84"/>
      <c r="C45" s="84"/>
      <c r="D45" s="84"/>
      <c r="E45" s="84"/>
      <c r="F45" s="84"/>
      <c r="G45" s="84"/>
      <c r="H45" s="84"/>
      <c r="I45" s="84"/>
      <c r="J45" s="84"/>
      <c r="K45" s="86"/>
      <c r="L45" s="84"/>
      <c r="M45" s="84"/>
      <c r="N45" s="84"/>
      <c r="O45" s="84"/>
      <c r="P45" s="86"/>
      <c r="Q45" s="84"/>
      <c r="R45" s="90"/>
      <c r="S45" s="87"/>
      <c r="T45" s="67"/>
      <c r="U45" s="67"/>
      <c r="V45" s="67"/>
      <c r="W45" s="67"/>
      <c r="X45" s="67"/>
      <c r="Y45" s="67"/>
      <c r="Z45" s="67"/>
    </row>
    <row r="46" spans="1:26" s="82" customFormat="1">
      <c r="A46" s="77"/>
      <c r="B46" s="78"/>
      <c r="C46" s="78"/>
      <c r="D46" s="78"/>
      <c r="E46" s="78"/>
      <c r="F46" s="78"/>
      <c r="G46" s="78"/>
      <c r="H46" s="78"/>
      <c r="I46" s="78"/>
      <c r="J46" s="78"/>
      <c r="K46" s="80"/>
      <c r="L46" s="78"/>
      <c r="M46" s="78"/>
      <c r="N46" s="78"/>
      <c r="O46" s="78"/>
      <c r="P46" s="80"/>
      <c r="Q46" s="78"/>
      <c r="R46" s="89"/>
      <c r="S46" s="81"/>
      <c r="T46" s="67"/>
      <c r="U46" s="67"/>
      <c r="V46" s="67"/>
      <c r="W46" s="67"/>
      <c r="X46" s="67"/>
      <c r="Y46" s="67"/>
      <c r="Z46" s="67"/>
    </row>
    <row r="47" spans="1:26" s="82" customFormat="1">
      <c r="A47" s="83"/>
      <c r="B47" s="84"/>
      <c r="C47" s="84"/>
      <c r="D47" s="84"/>
      <c r="E47" s="84"/>
      <c r="F47" s="84"/>
      <c r="G47" s="84"/>
      <c r="H47" s="84"/>
      <c r="I47" s="84"/>
      <c r="J47" s="84"/>
      <c r="K47" s="86"/>
      <c r="L47" s="84"/>
      <c r="M47" s="84"/>
      <c r="N47" s="84"/>
      <c r="O47" s="84"/>
      <c r="P47" s="86"/>
      <c r="Q47" s="84"/>
      <c r="R47" s="90"/>
      <c r="S47" s="87"/>
      <c r="T47" s="67"/>
      <c r="U47" s="67"/>
      <c r="V47" s="67"/>
      <c r="W47" s="67"/>
      <c r="X47" s="67"/>
      <c r="Y47" s="67"/>
      <c r="Z47" s="67"/>
    </row>
    <row r="48" spans="1:26" s="82" customFormat="1">
      <c r="A48" s="83"/>
      <c r="B48" s="78"/>
      <c r="C48" s="78"/>
      <c r="D48" s="78"/>
      <c r="E48" s="78"/>
      <c r="F48" s="78"/>
      <c r="G48" s="78"/>
      <c r="H48" s="78"/>
      <c r="I48" s="78"/>
      <c r="J48" s="78"/>
      <c r="K48" s="80"/>
      <c r="L48" s="78"/>
      <c r="M48" s="78"/>
      <c r="N48" s="78"/>
      <c r="O48" s="78"/>
      <c r="P48" s="80"/>
      <c r="Q48" s="78"/>
      <c r="R48" s="89"/>
      <c r="S48" s="81"/>
      <c r="T48" s="67"/>
      <c r="U48" s="67"/>
      <c r="V48" s="67"/>
      <c r="W48" s="67"/>
      <c r="X48" s="67"/>
      <c r="Y48" s="67"/>
      <c r="Z48" s="67"/>
    </row>
    <row r="49" spans="1:26" s="82" customFormat="1">
      <c r="A49" s="83"/>
      <c r="B49" s="84"/>
      <c r="C49" s="84"/>
      <c r="D49" s="84"/>
      <c r="E49" s="84"/>
      <c r="F49" s="84"/>
      <c r="G49" s="84"/>
      <c r="H49" s="84"/>
      <c r="I49" s="84"/>
      <c r="J49" s="84"/>
      <c r="K49" s="86"/>
      <c r="L49" s="84"/>
      <c r="M49" s="84"/>
      <c r="N49" s="84"/>
      <c r="O49" s="84"/>
      <c r="P49" s="86"/>
      <c r="Q49" s="84"/>
      <c r="R49" s="90"/>
      <c r="S49" s="87"/>
      <c r="T49" s="67"/>
      <c r="U49" s="67"/>
      <c r="V49" s="67"/>
      <c r="W49" s="67"/>
      <c r="X49" s="67"/>
      <c r="Y49" s="67"/>
      <c r="Z49" s="67"/>
    </row>
    <row r="50" spans="1:26" s="82" customFormat="1">
      <c r="A50" s="83"/>
      <c r="B50" s="78"/>
      <c r="C50" s="78"/>
      <c r="D50" s="78"/>
      <c r="E50" s="78"/>
      <c r="F50" s="78"/>
      <c r="G50" s="78"/>
      <c r="H50" s="78"/>
      <c r="I50" s="78"/>
      <c r="J50" s="78"/>
      <c r="K50" s="80"/>
      <c r="L50" s="78"/>
      <c r="M50" s="78"/>
      <c r="N50" s="78"/>
      <c r="O50" s="78"/>
      <c r="P50" s="80"/>
      <c r="Q50" s="78"/>
      <c r="R50" s="89"/>
      <c r="S50" s="81"/>
      <c r="T50" s="67"/>
      <c r="U50" s="67"/>
      <c r="V50" s="67"/>
      <c r="W50" s="67"/>
      <c r="X50" s="67"/>
      <c r="Y50" s="67"/>
      <c r="Z50" s="67"/>
    </row>
    <row r="51" spans="1:26" s="82" customFormat="1">
      <c r="A51" s="83"/>
      <c r="B51" s="84"/>
      <c r="C51" s="84"/>
      <c r="D51" s="84"/>
      <c r="E51" s="84"/>
      <c r="F51" s="84"/>
      <c r="G51" s="84"/>
      <c r="H51" s="84"/>
      <c r="I51" s="84"/>
      <c r="J51" s="84"/>
      <c r="K51" s="86"/>
      <c r="L51" s="84"/>
      <c r="M51" s="84"/>
      <c r="N51" s="84"/>
      <c r="O51" s="84"/>
      <c r="P51" s="86"/>
      <c r="Q51" s="84"/>
      <c r="R51" s="90"/>
      <c r="S51" s="87"/>
      <c r="T51" s="67"/>
      <c r="U51" s="67"/>
      <c r="V51" s="67"/>
      <c r="W51" s="67"/>
      <c r="X51" s="67"/>
      <c r="Y51" s="67"/>
      <c r="Z51" s="67"/>
    </row>
    <row r="52" spans="1:26" s="82" customFormat="1">
      <c r="A52" s="83"/>
      <c r="B52" s="78"/>
      <c r="C52" s="78"/>
      <c r="D52" s="78"/>
      <c r="E52" s="78"/>
      <c r="F52" s="78"/>
      <c r="G52" s="78"/>
      <c r="H52" s="78"/>
      <c r="I52" s="78"/>
      <c r="J52" s="78"/>
      <c r="K52" s="80"/>
      <c r="L52" s="78"/>
      <c r="M52" s="78"/>
      <c r="N52" s="78"/>
      <c r="O52" s="78"/>
      <c r="P52" s="80"/>
      <c r="Q52" s="78"/>
      <c r="R52" s="89"/>
      <c r="S52" s="81"/>
      <c r="T52" s="67"/>
      <c r="U52" s="67"/>
      <c r="V52" s="67"/>
      <c r="W52" s="67"/>
      <c r="X52" s="67"/>
      <c r="Y52" s="67"/>
      <c r="Z52" s="67"/>
    </row>
    <row r="53" spans="1:26" s="82" customFormat="1">
      <c r="A53" s="88"/>
      <c r="B53" s="84"/>
      <c r="C53" s="84"/>
      <c r="D53" s="84"/>
      <c r="E53" s="84"/>
      <c r="F53" s="84"/>
      <c r="G53" s="84"/>
      <c r="H53" s="84"/>
      <c r="I53" s="84"/>
      <c r="J53" s="84"/>
      <c r="K53" s="86"/>
      <c r="L53" s="84"/>
      <c r="M53" s="84"/>
      <c r="N53" s="84"/>
      <c r="O53" s="84"/>
      <c r="P53" s="86"/>
      <c r="Q53" s="84"/>
      <c r="R53" s="90"/>
      <c r="S53" s="87"/>
      <c r="T53" s="67"/>
      <c r="U53" s="67"/>
      <c r="V53" s="67"/>
      <c r="W53" s="67"/>
      <c r="X53" s="67"/>
      <c r="Y53" s="67"/>
      <c r="Z53" s="67"/>
    </row>
    <row r="54" spans="1:26" s="82" customFormat="1">
      <c r="A54" s="77"/>
      <c r="B54" s="78"/>
      <c r="C54" s="78"/>
      <c r="D54" s="78"/>
      <c r="E54" s="78"/>
      <c r="F54" s="78"/>
      <c r="G54" s="78"/>
      <c r="H54" s="78"/>
      <c r="I54" s="78"/>
      <c r="J54" s="78"/>
      <c r="K54" s="80"/>
      <c r="L54" s="78"/>
      <c r="M54" s="78"/>
      <c r="N54" s="78"/>
      <c r="O54" s="78"/>
      <c r="P54" s="80"/>
      <c r="Q54" s="78"/>
      <c r="R54" s="89"/>
      <c r="S54" s="81"/>
      <c r="T54" s="67"/>
      <c r="U54" s="67"/>
      <c r="V54" s="67"/>
      <c r="W54" s="67"/>
      <c r="X54" s="67"/>
      <c r="Y54" s="67"/>
      <c r="Z54" s="67"/>
    </row>
    <row r="55" spans="1:26" s="82" customFormat="1">
      <c r="A55" s="83"/>
      <c r="B55" s="84"/>
      <c r="C55" s="84"/>
      <c r="D55" s="84"/>
      <c r="E55" s="84"/>
      <c r="F55" s="84"/>
      <c r="G55" s="84"/>
      <c r="H55" s="84"/>
      <c r="I55" s="84"/>
      <c r="J55" s="84"/>
      <c r="K55" s="86"/>
      <c r="L55" s="84"/>
      <c r="M55" s="84"/>
      <c r="N55" s="84"/>
      <c r="O55" s="84"/>
      <c r="P55" s="86"/>
      <c r="Q55" s="84"/>
      <c r="R55" s="90"/>
      <c r="S55" s="87"/>
      <c r="T55" s="67"/>
      <c r="U55" s="67"/>
      <c r="V55" s="67"/>
      <c r="W55" s="67"/>
      <c r="X55" s="67"/>
      <c r="Y55" s="67"/>
      <c r="Z55" s="67"/>
    </row>
    <row r="56" spans="1:26" s="82" customFormat="1">
      <c r="A56" s="83"/>
      <c r="B56" s="78"/>
      <c r="C56" s="78"/>
      <c r="D56" s="78"/>
      <c r="E56" s="78"/>
      <c r="F56" s="78"/>
      <c r="G56" s="78"/>
      <c r="H56" s="78"/>
      <c r="I56" s="78"/>
      <c r="J56" s="78"/>
      <c r="K56" s="80"/>
      <c r="L56" s="78"/>
      <c r="M56" s="78"/>
      <c r="N56" s="78"/>
      <c r="O56" s="78"/>
      <c r="P56" s="80"/>
      <c r="Q56" s="78"/>
      <c r="R56" s="89"/>
      <c r="S56" s="81"/>
      <c r="T56" s="67"/>
      <c r="U56" s="67"/>
      <c r="V56" s="67"/>
      <c r="W56" s="67"/>
      <c r="X56" s="67"/>
      <c r="Y56" s="67"/>
      <c r="Z56" s="67"/>
    </row>
    <row r="57" spans="1:26" s="82" customFormat="1">
      <c r="A57" s="83"/>
      <c r="B57" s="84"/>
      <c r="C57" s="84"/>
      <c r="D57" s="84"/>
      <c r="E57" s="84"/>
      <c r="F57" s="84"/>
      <c r="G57" s="84"/>
      <c r="H57" s="84"/>
      <c r="I57" s="84"/>
      <c r="J57" s="84"/>
      <c r="K57" s="86"/>
      <c r="L57" s="84"/>
      <c r="M57" s="84"/>
      <c r="N57" s="84"/>
      <c r="O57" s="84"/>
      <c r="P57" s="86"/>
      <c r="Q57" s="84"/>
      <c r="R57" s="90"/>
      <c r="S57" s="87"/>
      <c r="T57" s="67"/>
      <c r="U57" s="67"/>
      <c r="V57" s="67"/>
      <c r="W57" s="67"/>
      <c r="X57" s="67"/>
      <c r="Y57" s="67"/>
      <c r="Z57" s="67"/>
    </row>
    <row r="58" spans="1:26" s="82" customFormat="1">
      <c r="A58" s="83"/>
      <c r="B58" s="78"/>
      <c r="C58" s="78"/>
      <c r="D58" s="78"/>
      <c r="E58" s="78"/>
      <c r="F58" s="78"/>
      <c r="G58" s="78"/>
      <c r="H58" s="78"/>
      <c r="I58" s="78"/>
      <c r="J58" s="78"/>
      <c r="K58" s="80"/>
      <c r="L58" s="78"/>
      <c r="M58" s="78"/>
      <c r="N58" s="78"/>
      <c r="O58" s="78"/>
      <c r="P58" s="80"/>
      <c r="Q58" s="78"/>
      <c r="R58" s="89"/>
      <c r="S58" s="81"/>
      <c r="T58" s="67"/>
      <c r="U58" s="67"/>
      <c r="V58" s="67"/>
      <c r="W58" s="67"/>
      <c r="X58" s="67"/>
      <c r="Y58" s="67"/>
      <c r="Z58" s="67"/>
    </row>
    <row r="59" spans="1:26" s="82" customFormat="1">
      <c r="A59" s="83"/>
      <c r="B59" s="84"/>
      <c r="C59" s="84"/>
      <c r="D59" s="84"/>
      <c r="E59" s="84"/>
      <c r="F59" s="84"/>
      <c r="G59" s="84"/>
      <c r="H59" s="84"/>
      <c r="I59" s="84"/>
      <c r="J59" s="84"/>
      <c r="K59" s="86"/>
      <c r="L59" s="84"/>
      <c r="M59" s="84"/>
      <c r="N59" s="84"/>
      <c r="O59" s="84"/>
      <c r="P59" s="86"/>
      <c r="Q59" s="84"/>
      <c r="R59" s="90"/>
      <c r="S59" s="87"/>
      <c r="T59" s="67"/>
      <c r="U59" s="67"/>
      <c r="V59" s="67"/>
      <c r="W59" s="67"/>
      <c r="X59" s="67"/>
      <c r="Y59" s="67"/>
      <c r="Z59" s="67"/>
    </row>
    <row r="60" spans="1:26" s="82" customFormat="1">
      <c r="A60" s="83"/>
      <c r="B60" s="78"/>
      <c r="C60" s="78"/>
      <c r="D60" s="78"/>
      <c r="E60" s="78"/>
      <c r="F60" s="78"/>
      <c r="G60" s="78"/>
      <c r="H60" s="78"/>
      <c r="I60" s="78"/>
      <c r="J60" s="78"/>
      <c r="K60" s="80"/>
      <c r="L60" s="78"/>
      <c r="M60" s="78"/>
      <c r="N60" s="78"/>
      <c r="O60" s="78"/>
      <c r="P60" s="80"/>
      <c r="Q60" s="78"/>
      <c r="R60" s="89"/>
      <c r="S60" s="81"/>
      <c r="T60" s="67"/>
      <c r="U60" s="67"/>
      <c r="V60" s="67"/>
      <c r="W60" s="67"/>
      <c r="X60" s="67"/>
      <c r="Y60" s="67"/>
      <c r="Z60" s="67"/>
    </row>
    <row r="61" spans="1:26" s="82" customFormat="1">
      <c r="A61" s="88"/>
      <c r="B61" s="84"/>
      <c r="C61" s="84"/>
      <c r="D61" s="84"/>
      <c r="E61" s="84"/>
      <c r="F61" s="84"/>
      <c r="G61" s="84"/>
      <c r="H61" s="84"/>
      <c r="I61" s="84"/>
      <c r="J61" s="84"/>
      <c r="K61" s="86"/>
      <c r="L61" s="84"/>
      <c r="M61" s="84"/>
      <c r="N61" s="84"/>
      <c r="O61" s="84"/>
      <c r="P61" s="86"/>
      <c r="Q61" s="84"/>
      <c r="R61" s="90"/>
      <c r="S61" s="87"/>
      <c r="T61" s="67"/>
      <c r="U61" s="67"/>
      <c r="V61" s="67"/>
      <c r="W61" s="67"/>
      <c r="X61" s="67"/>
      <c r="Y61" s="67"/>
      <c r="Z61" s="67"/>
    </row>
    <row r="62" spans="1:26" s="82" customFormat="1">
      <c r="A62" s="77"/>
      <c r="B62" s="78"/>
      <c r="C62" s="78"/>
      <c r="D62" s="78"/>
      <c r="E62" s="78"/>
      <c r="F62" s="78"/>
      <c r="G62" s="78"/>
      <c r="H62" s="78"/>
      <c r="I62" s="78"/>
      <c r="J62" s="78"/>
      <c r="K62" s="80"/>
      <c r="L62" s="78"/>
      <c r="M62" s="78"/>
      <c r="N62" s="78"/>
      <c r="O62" s="78"/>
      <c r="P62" s="80"/>
      <c r="Q62" s="78"/>
      <c r="R62" s="89"/>
      <c r="S62" s="81"/>
      <c r="T62" s="67"/>
      <c r="U62" s="67"/>
      <c r="V62" s="67"/>
      <c r="W62" s="67"/>
      <c r="X62" s="67"/>
      <c r="Y62" s="67"/>
      <c r="Z62" s="67"/>
    </row>
    <row r="63" spans="1:26" s="82" customFormat="1">
      <c r="A63" s="83"/>
      <c r="B63" s="84"/>
      <c r="C63" s="84"/>
      <c r="D63" s="84"/>
      <c r="E63" s="84"/>
      <c r="F63" s="84"/>
      <c r="G63" s="84"/>
      <c r="H63" s="84"/>
      <c r="I63" s="84"/>
      <c r="J63" s="84"/>
      <c r="K63" s="86"/>
      <c r="L63" s="84"/>
      <c r="M63" s="84"/>
      <c r="N63" s="84"/>
      <c r="O63" s="84"/>
      <c r="P63" s="86"/>
      <c r="Q63" s="84"/>
      <c r="R63" s="90"/>
      <c r="S63" s="87"/>
      <c r="T63" s="67"/>
      <c r="U63" s="67"/>
      <c r="V63" s="67"/>
      <c r="W63" s="67"/>
      <c r="X63" s="67"/>
      <c r="Y63" s="67"/>
      <c r="Z63" s="67"/>
    </row>
    <row r="64" spans="1:26" s="82" customFormat="1">
      <c r="A64" s="83"/>
      <c r="B64" s="78"/>
      <c r="C64" s="78"/>
      <c r="D64" s="78"/>
      <c r="E64" s="78"/>
      <c r="F64" s="78"/>
      <c r="G64" s="78"/>
      <c r="H64" s="78"/>
      <c r="I64" s="78"/>
      <c r="J64" s="78"/>
      <c r="K64" s="80"/>
      <c r="L64" s="78"/>
      <c r="M64" s="78"/>
      <c r="N64" s="78"/>
      <c r="O64" s="78"/>
      <c r="P64" s="80"/>
      <c r="Q64" s="78"/>
      <c r="R64" s="89"/>
      <c r="S64" s="81"/>
      <c r="T64" s="67"/>
      <c r="U64" s="67"/>
      <c r="V64" s="67"/>
      <c r="W64" s="67"/>
      <c r="X64" s="67"/>
      <c r="Y64" s="67"/>
      <c r="Z64" s="67"/>
    </row>
    <row r="65" spans="1:26" s="82" customFormat="1">
      <c r="A65" s="83"/>
      <c r="B65" s="84"/>
      <c r="C65" s="84"/>
      <c r="D65" s="84"/>
      <c r="E65" s="84"/>
      <c r="F65" s="84"/>
      <c r="G65" s="84"/>
      <c r="H65" s="84"/>
      <c r="I65" s="84"/>
      <c r="J65" s="84"/>
      <c r="K65" s="86"/>
      <c r="L65" s="84"/>
      <c r="M65" s="84"/>
      <c r="N65" s="84"/>
      <c r="O65" s="84"/>
      <c r="P65" s="86"/>
      <c r="Q65" s="84"/>
      <c r="R65" s="90"/>
      <c r="S65" s="87"/>
      <c r="T65" s="67"/>
      <c r="U65" s="67"/>
      <c r="V65" s="67"/>
      <c r="W65" s="67"/>
      <c r="X65" s="67"/>
      <c r="Y65" s="67"/>
      <c r="Z65" s="67"/>
    </row>
    <row r="66" spans="1:26" s="82" customFormat="1">
      <c r="A66" s="83"/>
      <c r="B66" s="78"/>
      <c r="C66" s="78"/>
      <c r="D66" s="78"/>
      <c r="E66" s="78"/>
      <c r="F66" s="78"/>
      <c r="G66" s="78"/>
      <c r="H66" s="78"/>
      <c r="I66" s="78"/>
      <c r="J66" s="78"/>
      <c r="K66" s="80"/>
      <c r="L66" s="78"/>
      <c r="M66" s="78"/>
      <c r="N66" s="78"/>
      <c r="O66" s="78"/>
      <c r="P66" s="80"/>
      <c r="Q66" s="78"/>
      <c r="R66" s="89"/>
      <c r="S66" s="81"/>
      <c r="T66" s="67"/>
      <c r="U66" s="67"/>
      <c r="V66" s="67"/>
      <c r="W66" s="67"/>
      <c r="X66" s="67"/>
      <c r="Y66" s="67"/>
      <c r="Z66" s="67"/>
    </row>
    <row r="67" spans="1:26" s="82" customFormat="1">
      <c r="A67" s="83"/>
      <c r="B67" s="84"/>
      <c r="C67" s="84"/>
      <c r="D67" s="84"/>
      <c r="E67" s="84"/>
      <c r="F67" s="84"/>
      <c r="G67" s="84"/>
      <c r="H67" s="84"/>
      <c r="I67" s="84"/>
      <c r="J67" s="84"/>
      <c r="K67" s="86"/>
      <c r="L67" s="84"/>
      <c r="M67" s="84"/>
      <c r="N67" s="84"/>
      <c r="O67" s="84"/>
      <c r="P67" s="86"/>
      <c r="Q67" s="84"/>
      <c r="R67" s="90"/>
      <c r="S67" s="87"/>
      <c r="T67" s="67"/>
      <c r="U67" s="67"/>
      <c r="V67" s="67"/>
      <c r="W67" s="67"/>
      <c r="X67" s="67"/>
      <c r="Y67" s="67"/>
      <c r="Z67" s="67"/>
    </row>
    <row r="68" spans="1:26" s="82" customFormat="1">
      <c r="A68" s="83"/>
      <c r="B68" s="78"/>
      <c r="C68" s="78"/>
      <c r="D68" s="78"/>
      <c r="E68" s="78"/>
      <c r="F68" s="78"/>
      <c r="G68" s="78"/>
      <c r="H68" s="78"/>
      <c r="I68" s="78"/>
      <c r="J68" s="78"/>
      <c r="K68" s="80"/>
      <c r="L68" s="78"/>
      <c r="M68" s="78"/>
      <c r="N68" s="78"/>
      <c r="O68" s="78"/>
      <c r="P68" s="80"/>
      <c r="Q68" s="78"/>
      <c r="R68" s="89"/>
      <c r="S68" s="81"/>
      <c r="T68" s="67"/>
      <c r="U68" s="67"/>
      <c r="V68" s="67"/>
      <c r="W68" s="67"/>
      <c r="X68" s="67"/>
      <c r="Y68" s="67"/>
      <c r="Z68" s="67"/>
    </row>
    <row r="69" spans="1:26" s="82" customFormat="1">
      <c r="A69" s="88"/>
      <c r="B69" s="84"/>
      <c r="C69" s="84"/>
      <c r="D69" s="84"/>
      <c r="E69" s="84"/>
      <c r="F69" s="84"/>
      <c r="G69" s="84"/>
      <c r="H69" s="84"/>
      <c r="I69" s="84"/>
      <c r="J69" s="84"/>
      <c r="K69" s="86"/>
      <c r="L69" s="84"/>
      <c r="M69" s="84"/>
      <c r="N69" s="84"/>
      <c r="O69" s="84"/>
      <c r="P69" s="86"/>
      <c r="Q69" s="84"/>
      <c r="R69" s="90"/>
      <c r="S69" s="87"/>
      <c r="T69" s="67"/>
      <c r="U69" s="67"/>
      <c r="V69" s="67"/>
      <c r="W69" s="67"/>
      <c r="X69" s="67"/>
      <c r="Y69" s="67"/>
      <c r="Z69" s="67"/>
    </row>
    <row r="70" spans="1:26" s="82" customFormat="1">
      <c r="A70" s="77"/>
      <c r="B70" s="78"/>
      <c r="C70" s="78"/>
      <c r="D70" s="78"/>
      <c r="E70" s="78"/>
      <c r="F70" s="78"/>
      <c r="G70" s="78"/>
      <c r="H70" s="78"/>
      <c r="I70" s="78"/>
      <c r="J70" s="78"/>
      <c r="K70" s="80"/>
      <c r="L70" s="78"/>
      <c r="M70" s="78"/>
      <c r="N70" s="78"/>
      <c r="O70" s="78"/>
      <c r="P70" s="80"/>
      <c r="Q70" s="78"/>
      <c r="R70" s="89"/>
      <c r="S70" s="81"/>
      <c r="T70" s="67"/>
      <c r="U70" s="67"/>
      <c r="V70" s="67"/>
      <c r="W70" s="67"/>
      <c r="X70" s="67"/>
      <c r="Y70" s="67"/>
      <c r="Z70" s="67"/>
    </row>
    <row r="71" spans="1:26" s="82" customFormat="1">
      <c r="A71" s="83"/>
      <c r="B71" s="84"/>
      <c r="C71" s="84"/>
      <c r="D71" s="84"/>
      <c r="E71" s="84"/>
      <c r="F71" s="84"/>
      <c r="G71" s="84"/>
      <c r="H71" s="84"/>
      <c r="I71" s="84"/>
      <c r="J71" s="84"/>
      <c r="K71" s="86"/>
      <c r="L71" s="84"/>
      <c r="M71" s="84"/>
      <c r="N71" s="84"/>
      <c r="O71" s="84"/>
      <c r="P71" s="86"/>
      <c r="Q71" s="84"/>
      <c r="R71" s="90"/>
      <c r="S71" s="87"/>
      <c r="T71" s="67"/>
      <c r="U71" s="67"/>
      <c r="V71" s="67"/>
      <c r="W71" s="67"/>
      <c r="X71" s="67"/>
      <c r="Y71" s="67"/>
      <c r="Z71" s="67"/>
    </row>
    <row r="72" spans="1:26" s="82" customFormat="1">
      <c r="A72" s="83"/>
      <c r="B72" s="78"/>
      <c r="C72" s="78"/>
      <c r="D72" s="78"/>
      <c r="E72" s="78"/>
      <c r="F72" s="78"/>
      <c r="G72" s="78"/>
      <c r="H72" s="78"/>
      <c r="I72" s="78"/>
      <c r="J72" s="78"/>
      <c r="K72" s="80"/>
      <c r="L72" s="78"/>
      <c r="M72" s="78"/>
      <c r="N72" s="78"/>
      <c r="O72" s="78"/>
      <c r="P72" s="80"/>
      <c r="Q72" s="78"/>
      <c r="R72" s="89"/>
      <c r="S72" s="81"/>
      <c r="T72" s="67"/>
      <c r="U72" s="67"/>
      <c r="V72" s="67"/>
      <c r="W72" s="67"/>
      <c r="X72" s="67"/>
      <c r="Y72" s="67"/>
      <c r="Z72" s="67"/>
    </row>
    <row r="73" spans="1:26" s="82" customFormat="1">
      <c r="A73" s="83"/>
      <c r="B73" s="84"/>
      <c r="C73" s="84"/>
      <c r="D73" s="84"/>
      <c r="E73" s="84"/>
      <c r="F73" s="84"/>
      <c r="G73" s="84"/>
      <c r="H73" s="84"/>
      <c r="I73" s="84"/>
      <c r="J73" s="84"/>
      <c r="K73" s="86"/>
      <c r="L73" s="84"/>
      <c r="M73" s="84"/>
      <c r="N73" s="84"/>
      <c r="O73" s="84"/>
      <c r="P73" s="86"/>
      <c r="Q73" s="84"/>
      <c r="R73" s="90"/>
      <c r="S73" s="87"/>
      <c r="T73" s="67"/>
      <c r="U73" s="67"/>
      <c r="V73" s="67"/>
      <c r="W73" s="67"/>
      <c r="X73" s="67"/>
      <c r="Y73" s="67"/>
      <c r="Z73" s="67"/>
    </row>
    <row r="74" spans="1:26" s="82" customFormat="1">
      <c r="A74" s="83"/>
      <c r="B74" s="78"/>
      <c r="C74" s="78"/>
      <c r="D74" s="78"/>
      <c r="E74" s="78"/>
      <c r="F74" s="78"/>
      <c r="G74" s="78"/>
      <c r="H74" s="78"/>
      <c r="I74" s="78"/>
      <c r="J74" s="78"/>
      <c r="K74" s="80"/>
      <c r="L74" s="78"/>
      <c r="M74" s="78"/>
      <c r="N74" s="78"/>
      <c r="O74" s="78"/>
      <c r="P74" s="80"/>
      <c r="Q74" s="78"/>
      <c r="R74" s="89"/>
      <c r="S74" s="81"/>
      <c r="T74" s="67"/>
      <c r="U74" s="67"/>
      <c r="V74" s="67"/>
      <c r="W74" s="67"/>
      <c r="X74" s="67"/>
      <c r="Y74" s="67"/>
      <c r="Z74" s="67"/>
    </row>
    <row r="75" spans="1:26" s="82" customFormat="1">
      <c r="A75" s="83"/>
      <c r="B75" s="84"/>
      <c r="C75" s="84"/>
      <c r="D75" s="84"/>
      <c r="E75" s="84"/>
      <c r="F75" s="84"/>
      <c r="G75" s="84"/>
      <c r="H75" s="84"/>
      <c r="I75" s="84"/>
      <c r="J75" s="84"/>
      <c r="K75" s="86"/>
      <c r="L75" s="84"/>
      <c r="M75" s="84"/>
      <c r="N75" s="84"/>
      <c r="O75" s="84"/>
      <c r="P75" s="86"/>
      <c r="Q75" s="84"/>
      <c r="R75" s="90"/>
      <c r="S75" s="87"/>
      <c r="T75" s="67"/>
      <c r="U75" s="67"/>
      <c r="V75" s="67"/>
      <c r="W75" s="67"/>
      <c r="X75" s="67"/>
      <c r="Y75" s="67"/>
      <c r="Z75" s="67"/>
    </row>
    <row r="76" spans="1:26" s="82" customFormat="1">
      <c r="A76" s="83"/>
      <c r="B76" s="78"/>
      <c r="C76" s="78"/>
      <c r="D76" s="78"/>
      <c r="E76" s="78"/>
      <c r="F76" s="78"/>
      <c r="G76" s="78"/>
      <c r="H76" s="78"/>
      <c r="I76" s="78"/>
      <c r="J76" s="78"/>
      <c r="K76" s="80"/>
      <c r="L76" s="78"/>
      <c r="M76" s="78"/>
      <c r="N76" s="78"/>
      <c r="O76" s="78"/>
      <c r="P76" s="80"/>
      <c r="Q76" s="78"/>
      <c r="R76" s="89"/>
      <c r="S76" s="81"/>
      <c r="T76" s="67"/>
      <c r="U76" s="67"/>
      <c r="V76" s="67"/>
      <c r="W76" s="67"/>
      <c r="X76" s="67"/>
      <c r="Y76" s="67"/>
      <c r="Z76" s="67"/>
    </row>
    <row r="77" spans="1:26" s="82" customFormat="1">
      <c r="A77" s="88"/>
      <c r="B77" s="84"/>
      <c r="C77" s="84"/>
      <c r="D77" s="84"/>
      <c r="E77" s="84"/>
      <c r="F77" s="84"/>
      <c r="G77" s="84"/>
      <c r="H77" s="84"/>
      <c r="I77" s="84"/>
      <c r="J77" s="84"/>
      <c r="K77" s="86"/>
      <c r="L77" s="84"/>
      <c r="M77" s="84"/>
      <c r="N77" s="84"/>
      <c r="O77" s="84"/>
      <c r="P77" s="86"/>
      <c r="Q77" s="84"/>
      <c r="R77" s="90"/>
      <c r="S77" s="87"/>
      <c r="T77" s="67"/>
      <c r="U77" s="67"/>
      <c r="V77" s="67"/>
      <c r="W77" s="67"/>
      <c r="X77" s="67"/>
      <c r="Y77" s="67"/>
      <c r="Z77" s="67"/>
    </row>
    <row r="78" spans="1:26" s="82" customFormat="1">
      <c r="A78" s="77"/>
      <c r="B78" s="78"/>
      <c r="C78" s="78"/>
      <c r="D78" s="78"/>
      <c r="E78" s="78"/>
      <c r="F78" s="78"/>
      <c r="G78" s="78"/>
      <c r="H78" s="78"/>
      <c r="I78" s="78"/>
      <c r="J78" s="78"/>
      <c r="K78" s="80"/>
      <c r="L78" s="78"/>
      <c r="M78" s="78"/>
      <c r="N78" s="78"/>
      <c r="O78" s="78"/>
      <c r="P78" s="80"/>
      <c r="Q78" s="78"/>
      <c r="R78" s="89"/>
      <c r="S78" s="81"/>
      <c r="T78" s="67"/>
      <c r="U78" s="67"/>
      <c r="V78" s="67"/>
      <c r="W78" s="67"/>
      <c r="X78" s="67"/>
      <c r="Y78" s="67"/>
      <c r="Z78" s="67"/>
    </row>
    <row r="79" spans="1:26" s="82" customFormat="1">
      <c r="A79" s="83"/>
      <c r="B79" s="84"/>
      <c r="C79" s="84"/>
      <c r="D79" s="84"/>
      <c r="E79" s="84"/>
      <c r="F79" s="84"/>
      <c r="G79" s="84"/>
      <c r="H79" s="84"/>
      <c r="I79" s="84"/>
      <c r="J79" s="84"/>
      <c r="K79" s="86"/>
      <c r="L79" s="84"/>
      <c r="M79" s="84"/>
      <c r="N79" s="84"/>
      <c r="O79" s="84"/>
      <c r="P79" s="86"/>
      <c r="Q79" s="84"/>
      <c r="R79" s="90"/>
      <c r="S79" s="87"/>
      <c r="T79" s="67"/>
      <c r="U79" s="67"/>
      <c r="V79" s="67"/>
      <c r="W79" s="67"/>
      <c r="X79" s="67"/>
      <c r="Y79" s="67"/>
      <c r="Z79" s="67"/>
    </row>
    <row r="80" spans="1:26" s="82" customFormat="1">
      <c r="A80" s="83"/>
      <c r="B80" s="78"/>
      <c r="C80" s="78"/>
      <c r="D80" s="78"/>
      <c r="E80" s="78"/>
      <c r="F80" s="78"/>
      <c r="G80" s="78"/>
      <c r="H80" s="78"/>
      <c r="I80" s="78"/>
      <c r="J80" s="78"/>
      <c r="K80" s="80"/>
      <c r="L80" s="78"/>
      <c r="M80" s="78"/>
      <c r="N80" s="78"/>
      <c r="O80" s="78"/>
      <c r="P80" s="80"/>
      <c r="Q80" s="78"/>
      <c r="R80" s="89"/>
      <c r="S80" s="81"/>
      <c r="T80" s="67"/>
      <c r="U80" s="67"/>
      <c r="V80" s="67"/>
      <c r="W80" s="67"/>
      <c r="X80" s="67"/>
      <c r="Y80" s="67"/>
      <c r="Z80" s="67"/>
    </row>
    <row r="81" spans="1:26" s="82" customFormat="1">
      <c r="A81" s="83"/>
      <c r="B81" s="84"/>
      <c r="C81" s="84"/>
      <c r="D81" s="84"/>
      <c r="E81" s="84"/>
      <c r="F81" s="84"/>
      <c r="G81" s="84"/>
      <c r="H81" s="84"/>
      <c r="I81" s="84"/>
      <c r="J81" s="84"/>
      <c r="K81" s="86"/>
      <c r="L81" s="84"/>
      <c r="M81" s="84"/>
      <c r="N81" s="84"/>
      <c r="O81" s="84"/>
      <c r="P81" s="86"/>
      <c r="Q81" s="84"/>
      <c r="R81" s="90"/>
      <c r="S81" s="87"/>
      <c r="T81" s="67"/>
      <c r="U81" s="67"/>
      <c r="V81" s="67"/>
      <c r="W81" s="67"/>
      <c r="X81" s="67"/>
      <c r="Y81" s="67"/>
      <c r="Z81" s="67"/>
    </row>
    <row r="82" spans="1:26" s="82" customFormat="1">
      <c r="A82" s="83"/>
      <c r="B82" s="78"/>
      <c r="C82" s="78"/>
      <c r="D82" s="78"/>
      <c r="E82" s="78"/>
      <c r="F82" s="78"/>
      <c r="G82" s="78"/>
      <c r="H82" s="78"/>
      <c r="I82" s="78"/>
      <c r="J82" s="78"/>
      <c r="K82" s="80"/>
      <c r="L82" s="78"/>
      <c r="M82" s="78"/>
      <c r="N82" s="78"/>
      <c r="O82" s="78"/>
      <c r="P82" s="80"/>
      <c r="Q82" s="78"/>
      <c r="R82" s="89"/>
      <c r="S82" s="81"/>
      <c r="T82" s="67"/>
      <c r="U82" s="67"/>
      <c r="V82" s="67"/>
      <c r="W82" s="67"/>
      <c r="X82" s="67"/>
      <c r="Y82" s="67"/>
      <c r="Z82" s="67"/>
    </row>
    <row r="83" spans="1:26" s="82" customFormat="1">
      <c r="A83" s="83"/>
      <c r="B83" s="84"/>
      <c r="C83" s="84"/>
      <c r="D83" s="84"/>
      <c r="E83" s="84"/>
      <c r="F83" s="84"/>
      <c r="G83" s="84"/>
      <c r="H83" s="84"/>
      <c r="I83" s="84"/>
      <c r="J83" s="84"/>
      <c r="K83" s="86"/>
      <c r="L83" s="84"/>
      <c r="M83" s="84"/>
      <c r="N83" s="84"/>
      <c r="O83" s="84"/>
      <c r="P83" s="86"/>
      <c r="Q83" s="84"/>
      <c r="R83" s="90"/>
      <c r="S83" s="87"/>
      <c r="T83" s="67"/>
      <c r="U83" s="67"/>
      <c r="V83" s="67"/>
      <c r="W83" s="67"/>
      <c r="X83" s="67"/>
      <c r="Y83" s="67"/>
      <c r="Z83" s="67"/>
    </row>
    <row r="84" spans="1:26" s="82" customFormat="1">
      <c r="A84" s="83"/>
      <c r="B84" s="78"/>
      <c r="C84" s="78"/>
      <c r="D84" s="78"/>
      <c r="E84" s="78"/>
      <c r="F84" s="78"/>
      <c r="G84" s="78"/>
      <c r="H84" s="78"/>
      <c r="I84" s="78"/>
      <c r="J84" s="78"/>
      <c r="K84" s="80"/>
      <c r="L84" s="78"/>
      <c r="M84" s="78"/>
      <c r="N84" s="78"/>
      <c r="O84" s="78"/>
      <c r="P84" s="80"/>
      <c r="Q84" s="78"/>
      <c r="R84" s="89"/>
      <c r="S84" s="81"/>
      <c r="T84" s="67"/>
      <c r="U84" s="67"/>
      <c r="V84" s="67"/>
      <c r="W84" s="67"/>
      <c r="X84" s="67"/>
      <c r="Y84" s="67"/>
      <c r="Z84" s="67"/>
    </row>
    <row r="85" spans="1:26" s="82" customFormat="1">
      <c r="A85" s="88"/>
      <c r="B85" s="84"/>
      <c r="C85" s="84"/>
      <c r="D85" s="84"/>
      <c r="E85" s="84"/>
      <c r="F85" s="84"/>
      <c r="G85" s="84"/>
      <c r="H85" s="84"/>
      <c r="I85" s="84"/>
      <c r="J85" s="84"/>
      <c r="K85" s="86"/>
      <c r="L85" s="84"/>
      <c r="M85" s="84"/>
      <c r="N85" s="84"/>
      <c r="O85" s="84"/>
      <c r="P85" s="86"/>
      <c r="Q85" s="84"/>
      <c r="R85" s="90"/>
      <c r="S85" s="87"/>
      <c r="T85" s="67"/>
      <c r="U85" s="67"/>
      <c r="V85" s="67"/>
      <c r="W85" s="67"/>
      <c r="X85" s="67"/>
      <c r="Y85" s="67"/>
      <c r="Z85" s="67"/>
    </row>
    <row r="86" spans="1:26" s="82" customFormat="1">
      <c r="A86" s="77"/>
      <c r="B86" s="78"/>
      <c r="C86" s="78"/>
      <c r="D86" s="78"/>
      <c r="E86" s="78"/>
      <c r="F86" s="78"/>
      <c r="G86" s="78"/>
      <c r="H86" s="78"/>
      <c r="I86" s="78"/>
      <c r="J86" s="78"/>
      <c r="K86" s="80"/>
      <c r="L86" s="78"/>
      <c r="M86" s="78"/>
      <c r="N86" s="78"/>
      <c r="O86" s="78"/>
      <c r="P86" s="80"/>
      <c r="Q86" s="78"/>
      <c r="R86" s="89"/>
      <c r="S86" s="81"/>
      <c r="T86" s="67"/>
      <c r="U86" s="67"/>
      <c r="V86" s="67"/>
      <c r="W86" s="67"/>
      <c r="X86" s="67"/>
      <c r="Y86" s="67"/>
      <c r="Z86" s="67"/>
    </row>
    <row r="87" spans="1:26" s="82" customFormat="1">
      <c r="A87" s="83"/>
      <c r="B87" s="84"/>
      <c r="C87" s="84"/>
      <c r="D87" s="84"/>
      <c r="E87" s="84"/>
      <c r="F87" s="84"/>
      <c r="G87" s="84"/>
      <c r="H87" s="84"/>
      <c r="I87" s="84"/>
      <c r="J87" s="84"/>
      <c r="K87" s="86"/>
      <c r="L87" s="84"/>
      <c r="M87" s="84"/>
      <c r="N87" s="84"/>
      <c r="O87" s="84"/>
      <c r="P87" s="86"/>
      <c r="Q87" s="84"/>
      <c r="R87" s="90"/>
      <c r="S87" s="87"/>
      <c r="T87" s="67"/>
      <c r="U87" s="67"/>
      <c r="V87" s="67"/>
      <c r="W87" s="67"/>
      <c r="X87" s="67"/>
      <c r="Y87" s="67"/>
      <c r="Z87" s="67"/>
    </row>
    <row r="88" spans="1:26" s="82" customFormat="1">
      <c r="A88" s="83"/>
      <c r="B88" s="78"/>
      <c r="C88" s="78"/>
      <c r="D88" s="78"/>
      <c r="E88" s="78"/>
      <c r="F88" s="78"/>
      <c r="G88" s="78"/>
      <c r="H88" s="78"/>
      <c r="I88" s="78"/>
      <c r="J88" s="78"/>
      <c r="K88" s="80"/>
      <c r="L88" s="78"/>
      <c r="M88" s="78"/>
      <c r="N88" s="78"/>
      <c r="O88" s="78"/>
      <c r="P88" s="80"/>
      <c r="Q88" s="78"/>
      <c r="R88" s="89"/>
      <c r="S88" s="81"/>
      <c r="T88" s="67"/>
      <c r="U88" s="67"/>
      <c r="V88" s="67"/>
      <c r="W88" s="67"/>
      <c r="X88" s="67"/>
      <c r="Y88" s="67"/>
      <c r="Z88" s="67"/>
    </row>
    <row r="89" spans="1:26" s="82" customFormat="1">
      <c r="A89" s="83"/>
      <c r="B89" s="84"/>
      <c r="C89" s="84"/>
      <c r="D89" s="84"/>
      <c r="E89" s="84"/>
      <c r="F89" s="84"/>
      <c r="G89" s="84"/>
      <c r="H89" s="84"/>
      <c r="I89" s="84"/>
      <c r="J89" s="84"/>
      <c r="K89" s="86"/>
      <c r="L89" s="84"/>
      <c r="M89" s="84"/>
      <c r="N89" s="84"/>
      <c r="O89" s="84"/>
      <c r="P89" s="86"/>
      <c r="Q89" s="84"/>
      <c r="R89" s="90"/>
      <c r="S89" s="87"/>
      <c r="T89" s="67"/>
      <c r="U89" s="67"/>
      <c r="V89" s="67"/>
      <c r="W89" s="67"/>
      <c r="X89" s="67"/>
      <c r="Y89" s="67"/>
      <c r="Z89" s="67"/>
    </row>
    <row r="90" spans="1:26" s="82" customFormat="1">
      <c r="A90" s="83"/>
      <c r="B90" s="78"/>
      <c r="C90" s="78"/>
      <c r="D90" s="78"/>
      <c r="E90" s="78"/>
      <c r="F90" s="78"/>
      <c r="G90" s="78"/>
      <c r="H90" s="78"/>
      <c r="I90" s="78"/>
      <c r="J90" s="78"/>
      <c r="K90" s="80"/>
      <c r="L90" s="78"/>
      <c r="M90" s="78"/>
      <c r="N90" s="78"/>
      <c r="O90" s="78"/>
      <c r="P90" s="80"/>
      <c r="Q90" s="78"/>
      <c r="R90" s="89"/>
      <c r="S90" s="81"/>
      <c r="T90" s="67"/>
      <c r="U90" s="67"/>
      <c r="V90" s="67"/>
      <c r="W90" s="67"/>
      <c r="X90" s="67"/>
      <c r="Y90" s="67"/>
      <c r="Z90" s="67"/>
    </row>
    <row r="91" spans="1:26" s="82" customFormat="1">
      <c r="A91" s="83"/>
      <c r="B91" s="84"/>
      <c r="C91" s="84"/>
      <c r="D91" s="84"/>
      <c r="E91" s="84"/>
      <c r="F91" s="84"/>
      <c r="G91" s="84"/>
      <c r="H91" s="84"/>
      <c r="I91" s="84"/>
      <c r="J91" s="84"/>
      <c r="K91" s="86"/>
      <c r="L91" s="84"/>
      <c r="M91" s="84"/>
      <c r="N91" s="84"/>
      <c r="O91" s="84"/>
      <c r="P91" s="86"/>
      <c r="Q91" s="84"/>
      <c r="R91" s="90"/>
      <c r="S91" s="87"/>
      <c r="T91" s="67"/>
      <c r="U91" s="67"/>
      <c r="V91" s="67"/>
      <c r="W91" s="67"/>
      <c r="X91" s="67"/>
      <c r="Y91" s="67"/>
      <c r="Z91" s="67"/>
    </row>
    <row r="92" spans="1:26" s="82" customFormat="1">
      <c r="A92" s="83"/>
      <c r="B92" s="78"/>
      <c r="C92" s="78"/>
      <c r="D92" s="78"/>
      <c r="E92" s="78"/>
      <c r="F92" s="78"/>
      <c r="G92" s="78"/>
      <c r="H92" s="78"/>
      <c r="I92" s="78"/>
      <c r="J92" s="78"/>
      <c r="K92" s="80"/>
      <c r="L92" s="78"/>
      <c r="M92" s="78"/>
      <c r="N92" s="78"/>
      <c r="O92" s="78"/>
      <c r="P92" s="80"/>
      <c r="Q92" s="78"/>
      <c r="R92" s="89"/>
      <c r="S92" s="81"/>
      <c r="T92" s="67"/>
      <c r="U92" s="67"/>
      <c r="V92" s="67"/>
      <c r="W92" s="67"/>
      <c r="X92" s="67"/>
      <c r="Y92" s="67"/>
      <c r="Z92" s="67"/>
    </row>
    <row r="93" spans="1:26" s="82" customFormat="1">
      <c r="A93" s="88"/>
      <c r="B93" s="84"/>
      <c r="C93" s="84"/>
      <c r="D93" s="84"/>
      <c r="E93" s="84"/>
      <c r="F93" s="84"/>
      <c r="G93" s="84"/>
      <c r="H93" s="84"/>
      <c r="I93" s="84"/>
      <c r="J93" s="84"/>
      <c r="K93" s="86"/>
      <c r="L93" s="84"/>
      <c r="M93" s="84"/>
      <c r="N93" s="84"/>
      <c r="O93" s="84"/>
      <c r="P93" s="86"/>
      <c r="Q93" s="84"/>
      <c r="R93" s="90"/>
      <c r="S93" s="87"/>
      <c r="T93" s="67"/>
      <c r="U93" s="67"/>
      <c r="V93" s="67"/>
      <c r="W93" s="67"/>
      <c r="X93" s="67"/>
      <c r="Y93" s="67"/>
      <c r="Z93" s="67"/>
    </row>
    <row r="94" spans="1:26" s="82" customFormat="1">
      <c r="A94" s="77"/>
      <c r="B94" s="78"/>
      <c r="C94" s="78"/>
      <c r="D94" s="78"/>
      <c r="E94" s="78"/>
      <c r="F94" s="78"/>
      <c r="G94" s="78"/>
      <c r="H94" s="78"/>
      <c r="I94" s="78"/>
      <c r="J94" s="78"/>
      <c r="K94" s="80"/>
      <c r="L94" s="78"/>
      <c r="M94" s="78"/>
      <c r="N94" s="78"/>
      <c r="O94" s="78"/>
      <c r="P94" s="80"/>
      <c r="Q94" s="78"/>
      <c r="R94" s="89"/>
      <c r="S94" s="81"/>
      <c r="T94" s="67"/>
      <c r="U94" s="67"/>
      <c r="V94" s="67"/>
      <c r="W94" s="67"/>
      <c r="X94" s="67"/>
      <c r="Y94" s="67"/>
      <c r="Z94" s="67"/>
    </row>
    <row r="95" spans="1:26" s="82" customFormat="1">
      <c r="A95" s="83"/>
      <c r="B95" s="84"/>
      <c r="C95" s="84"/>
      <c r="D95" s="84"/>
      <c r="E95" s="84"/>
      <c r="F95" s="84"/>
      <c r="G95" s="84"/>
      <c r="H95" s="84"/>
      <c r="I95" s="84"/>
      <c r="J95" s="84"/>
      <c r="K95" s="86"/>
      <c r="L95" s="84"/>
      <c r="M95" s="84"/>
      <c r="N95" s="84"/>
      <c r="O95" s="84"/>
      <c r="P95" s="86"/>
      <c r="Q95" s="84"/>
      <c r="R95" s="90"/>
      <c r="S95" s="87"/>
      <c r="T95" s="67"/>
      <c r="U95" s="67"/>
      <c r="V95" s="67"/>
      <c r="W95" s="67"/>
      <c r="X95" s="67"/>
      <c r="Y95" s="67"/>
      <c r="Z95" s="67"/>
    </row>
    <row r="96" spans="1:26" s="82" customFormat="1">
      <c r="A96" s="83"/>
      <c r="B96" s="78"/>
      <c r="C96" s="78"/>
      <c r="D96" s="78"/>
      <c r="E96" s="78"/>
      <c r="F96" s="78"/>
      <c r="G96" s="78"/>
      <c r="H96" s="78"/>
      <c r="I96" s="78"/>
      <c r="J96" s="78"/>
      <c r="K96" s="80"/>
      <c r="L96" s="78"/>
      <c r="M96" s="78"/>
      <c r="N96" s="78"/>
      <c r="O96" s="78"/>
      <c r="P96" s="80"/>
      <c r="Q96" s="78"/>
      <c r="R96" s="89"/>
      <c r="S96" s="81"/>
      <c r="T96" s="67"/>
      <c r="U96" s="67"/>
      <c r="V96" s="67"/>
      <c r="W96" s="67"/>
      <c r="X96" s="67"/>
      <c r="Y96" s="67"/>
      <c r="Z96" s="67"/>
    </row>
    <row r="97" spans="1:26" s="82" customFormat="1">
      <c r="A97" s="83"/>
      <c r="B97" s="84"/>
      <c r="C97" s="84"/>
      <c r="D97" s="84"/>
      <c r="E97" s="84"/>
      <c r="F97" s="84"/>
      <c r="G97" s="84"/>
      <c r="H97" s="84"/>
      <c r="I97" s="84"/>
      <c r="J97" s="84"/>
      <c r="K97" s="86"/>
      <c r="L97" s="84"/>
      <c r="M97" s="84"/>
      <c r="N97" s="84"/>
      <c r="O97" s="84"/>
      <c r="P97" s="86"/>
      <c r="Q97" s="84"/>
      <c r="R97" s="90"/>
      <c r="S97" s="87"/>
      <c r="T97" s="67"/>
      <c r="U97" s="67"/>
      <c r="V97" s="67"/>
      <c r="W97" s="67"/>
      <c r="X97" s="67"/>
      <c r="Y97" s="67"/>
      <c r="Z97" s="67"/>
    </row>
    <row r="98" spans="1:26" s="82" customFormat="1">
      <c r="A98" s="83"/>
      <c r="B98" s="78"/>
      <c r="C98" s="78"/>
      <c r="D98" s="78"/>
      <c r="E98" s="78"/>
      <c r="F98" s="78"/>
      <c r="G98" s="78"/>
      <c r="H98" s="78"/>
      <c r="I98" s="78"/>
      <c r="J98" s="78"/>
      <c r="K98" s="80"/>
      <c r="L98" s="78"/>
      <c r="M98" s="78"/>
      <c r="N98" s="78"/>
      <c r="O98" s="78"/>
      <c r="P98" s="80"/>
      <c r="Q98" s="78"/>
      <c r="R98" s="89"/>
      <c r="S98" s="81"/>
      <c r="T98" s="67"/>
      <c r="U98" s="67"/>
      <c r="V98" s="67"/>
      <c r="W98" s="67"/>
      <c r="X98" s="67"/>
      <c r="Y98" s="67"/>
      <c r="Z98" s="67"/>
    </row>
    <row r="99" spans="1:26" s="82" customFormat="1">
      <c r="A99" s="83"/>
      <c r="B99" s="84"/>
      <c r="C99" s="84"/>
      <c r="D99" s="84"/>
      <c r="E99" s="84"/>
      <c r="F99" s="84"/>
      <c r="G99" s="84"/>
      <c r="H99" s="84"/>
      <c r="I99" s="84"/>
      <c r="J99" s="84"/>
      <c r="K99" s="86"/>
      <c r="L99" s="84"/>
      <c r="M99" s="84"/>
      <c r="N99" s="84"/>
      <c r="O99" s="84"/>
      <c r="P99" s="86"/>
      <c r="Q99" s="84"/>
      <c r="R99" s="90"/>
      <c r="S99" s="87"/>
      <c r="T99" s="67"/>
      <c r="U99" s="67"/>
      <c r="V99" s="67"/>
      <c r="W99" s="67"/>
      <c r="X99" s="67"/>
      <c r="Y99" s="67"/>
      <c r="Z99" s="67"/>
    </row>
    <row r="100" spans="1:26" s="82" customFormat="1">
      <c r="A100" s="83"/>
      <c r="B100" s="78"/>
      <c r="C100" s="78"/>
      <c r="D100" s="78"/>
      <c r="E100" s="78"/>
      <c r="F100" s="78"/>
      <c r="G100" s="78"/>
      <c r="H100" s="78"/>
      <c r="I100" s="78"/>
      <c r="J100" s="78"/>
      <c r="K100" s="80"/>
      <c r="L100" s="78"/>
      <c r="M100" s="78"/>
      <c r="N100" s="78"/>
      <c r="O100" s="78"/>
      <c r="P100" s="80"/>
      <c r="Q100" s="78"/>
      <c r="R100" s="89"/>
      <c r="S100" s="81"/>
      <c r="T100" s="67"/>
      <c r="U100" s="67"/>
      <c r="V100" s="67"/>
      <c r="W100" s="67"/>
      <c r="X100" s="67"/>
      <c r="Y100" s="67"/>
      <c r="Z100" s="67"/>
    </row>
    <row r="101" spans="1:26" s="82" customFormat="1">
      <c r="A101" s="88"/>
      <c r="B101" s="84"/>
      <c r="C101" s="84"/>
      <c r="D101" s="84"/>
      <c r="E101" s="84"/>
      <c r="F101" s="84"/>
      <c r="G101" s="84"/>
      <c r="H101" s="84"/>
      <c r="I101" s="84"/>
      <c r="J101" s="84"/>
      <c r="K101" s="86"/>
      <c r="L101" s="84"/>
      <c r="M101" s="84"/>
      <c r="N101" s="84"/>
      <c r="O101" s="84"/>
      <c r="P101" s="86"/>
      <c r="Q101" s="84"/>
      <c r="R101" s="90"/>
      <c r="S101" s="87"/>
      <c r="T101" s="67"/>
      <c r="U101" s="67"/>
      <c r="V101" s="67"/>
      <c r="W101" s="67"/>
      <c r="X101" s="67"/>
      <c r="Y101" s="67"/>
      <c r="Z101" s="67"/>
    </row>
    <row r="102" spans="1:26" s="82" customFormat="1">
      <c r="A102" s="77"/>
      <c r="B102" s="78"/>
      <c r="C102" s="78"/>
      <c r="D102" s="78"/>
      <c r="E102" s="78"/>
      <c r="F102" s="78"/>
      <c r="G102" s="78"/>
      <c r="H102" s="78"/>
      <c r="I102" s="78"/>
      <c r="J102" s="78"/>
      <c r="K102" s="80"/>
      <c r="L102" s="78"/>
      <c r="M102" s="78"/>
      <c r="N102" s="78"/>
      <c r="O102" s="78"/>
      <c r="P102" s="80"/>
      <c r="Q102" s="78"/>
      <c r="R102" s="89"/>
      <c r="S102" s="81"/>
      <c r="T102" s="67"/>
      <c r="U102" s="67"/>
      <c r="V102" s="67"/>
      <c r="W102" s="67"/>
      <c r="X102" s="67"/>
      <c r="Y102" s="67"/>
      <c r="Z102" s="67"/>
    </row>
    <row r="103" spans="1:26" s="82" customFormat="1">
      <c r="A103" s="83"/>
      <c r="B103" s="84"/>
      <c r="C103" s="84"/>
      <c r="D103" s="84"/>
      <c r="E103" s="84"/>
      <c r="F103" s="84"/>
      <c r="G103" s="84"/>
      <c r="H103" s="84"/>
      <c r="I103" s="84"/>
      <c r="J103" s="84"/>
      <c r="K103" s="86"/>
      <c r="L103" s="84"/>
      <c r="M103" s="84"/>
      <c r="N103" s="84"/>
      <c r="O103" s="84"/>
      <c r="P103" s="86"/>
      <c r="Q103" s="84"/>
      <c r="R103" s="90"/>
      <c r="S103" s="87"/>
      <c r="T103" s="67"/>
      <c r="U103" s="67"/>
      <c r="V103" s="67"/>
      <c r="W103" s="67"/>
      <c r="X103" s="67"/>
      <c r="Y103" s="67"/>
      <c r="Z103" s="67"/>
    </row>
    <row r="104" spans="1:26" s="82" customFormat="1">
      <c r="A104" s="83"/>
      <c r="B104" s="78"/>
      <c r="C104" s="78"/>
      <c r="D104" s="78"/>
      <c r="E104" s="78"/>
      <c r="F104" s="78"/>
      <c r="G104" s="78"/>
      <c r="H104" s="78"/>
      <c r="I104" s="78"/>
      <c r="J104" s="78"/>
      <c r="K104" s="80"/>
      <c r="L104" s="78"/>
      <c r="M104" s="78"/>
      <c r="N104" s="78"/>
      <c r="O104" s="78"/>
      <c r="P104" s="80"/>
      <c r="Q104" s="78"/>
      <c r="R104" s="89"/>
      <c r="S104" s="81"/>
      <c r="T104" s="67"/>
      <c r="U104" s="67"/>
      <c r="V104" s="67"/>
      <c r="W104" s="67"/>
      <c r="X104" s="67"/>
      <c r="Y104" s="67"/>
      <c r="Z104" s="67"/>
    </row>
    <row r="105" spans="1:26" s="82" customFormat="1">
      <c r="A105" s="83"/>
      <c r="B105" s="84"/>
      <c r="C105" s="84"/>
      <c r="D105" s="84"/>
      <c r="E105" s="84"/>
      <c r="F105" s="84"/>
      <c r="G105" s="84"/>
      <c r="H105" s="84"/>
      <c r="I105" s="84"/>
      <c r="J105" s="84"/>
      <c r="K105" s="86"/>
      <c r="L105" s="84"/>
      <c r="M105" s="84"/>
      <c r="N105" s="84"/>
      <c r="O105" s="84"/>
      <c r="P105" s="86"/>
      <c r="Q105" s="84"/>
      <c r="R105" s="90"/>
      <c r="S105" s="87"/>
      <c r="T105" s="67"/>
      <c r="U105" s="67"/>
      <c r="V105" s="67"/>
      <c r="W105" s="67"/>
      <c r="X105" s="67"/>
      <c r="Y105" s="67"/>
      <c r="Z105" s="67"/>
    </row>
    <row r="106" spans="1:26" s="82" customFormat="1">
      <c r="A106" s="83"/>
      <c r="B106" s="78"/>
      <c r="C106" s="78"/>
      <c r="D106" s="78"/>
      <c r="E106" s="78"/>
      <c r="F106" s="78"/>
      <c r="G106" s="78"/>
      <c r="H106" s="78"/>
      <c r="I106" s="78"/>
      <c r="J106" s="78"/>
      <c r="K106" s="80"/>
      <c r="L106" s="78"/>
      <c r="M106" s="78"/>
      <c r="N106" s="78"/>
      <c r="O106" s="78"/>
      <c r="P106" s="80"/>
      <c r="Q106" s="78"/>
      <c r="R106" s="89"/>
      <c r="S106" s="81"/>
      <c r="T106" s="67"/>
      <c r="U106" s="67"/>
      <c r="V106" s="67"/>
      <c r="W106" s="67"/>
      <c r="X106" s="67"/>
      <c r="Y106" s="67"/>
      <c r="Z106" s="67"/>
    </row>
    <row r="107" spans="1:26" s="82" customFormat="1">
      <c r="A107" s="83"/>
      <c r="B107" s="84"/>
      <c r="C107" s="84"/>
      <c r="D107" s="84"/>
      <c r="E107" s="84"/>
      <c r="F107" s="84"/>
      <c r="G107" s="84"/>
      <c r="H107" s="84"/>
      <c r="I107" s="84"/>
      <c r="J107" s="84"/>
      <c r="K107" s="86"/>
      <c r="L107" s="84"/>
      <c r="M107" s="84"/>
      <c r="N107" s="84"/>
      <c r="O107" s="84"/>
      <c r="P107" s="86"/>
      <c r="Q107" s="84"/>
      <c r="R107" s="90"/>
      <c r="S107" s="87"/>
      <c r="T107" s="67"/>
      <c r="U107" s="67"/>
      <c r="V107" s="67"/>
      <c r="W107" s="67"/>
      <c r="X107" s="67"/>
      <c r="Y107" s="67"/>
      <c r="Z107" s="67"/>
    </row>
    <row r="108" spans="1:26" s="82" customFormat="1">
      <c r="A108" s="83"/>
      <c r="B108" s="78"/>
      <c r="C108" s="78"/>
      <c r="D108" s="78"/>
      <c r="E108" s="78"/>
      <c r="F108" s="78"/>
      <c r="G108" s="78"/>
      <c r="H108" s="78"/>
      <c r="I108" s="78"/>
      <c r="J108" s="78"/>
      <c r="K108" s="80"/>
      <c r="L108" s="78"/>
      <c r="M108" s="78"/>
      <c r="N108" s="78"/>
      <c r="O108" s="78"/>
      <c r="P108" s="80"/>
      <c r="Q108" s="78"/>
      <c r="R108" s="89"/>
      <c r="S108" s="81"/>
      <c r="T108" s="67"/>
      <c r="U108" s="67"/>
      <c r="V108" s="67"/>
      <c r="W108" s="67"/>
      <c r="X108" s="67"/>
      <c r="Y108" s="67"/>
      <c r="Z108" s="67"/>
    </row>
    <row r="109" spans="1:26" s="82" customFormat="1">
      <c r="A109" s="88"/>
      <c r="B109" s="84"/>
      <c r="C109" s="84"/>
      <c r="D109" s="84"/>
      <c r="E109" s="84"/>
      <c r="F109" s="84"/>
      <c r="G109" s="84"/>
      <c r="H109" s="84"/>
      <c r="I109" s="84"/>
      <c r="J109" s="84"/>
      <c r="K109" s="86"/>
      <c r="L109" s="84"/>
      <c r="M109" s="84"/>
      <c r="N109" s="84"/>
      <c r="O109" s="84"/>
      <c r="P109" s="86"/>
      <c r="Q109" s="84"/>
      <c r="R109" s="90"/>
      <c r="S109" s="87"/>
      <c r="T109" s="67"/>
      <c r="U109" s="67"/>
      <c r="V109" s="67"/>
      <c r="W109" s="67"/>
      <c r="X109" s="67"/>
      <c r="Y109" s="67"/>
      <c r="Z109" s="67"/>
    </row>
    <row r="110" spans="1:26" s="82" customFormat="1">
      <c r="A110" s="77"/>
      <c r="B110" s="78"/>
      <c r="C110" s="78"/>
      <c r="D110" s="78"/>
      <c r="E110" s="78"/>
      <c r="F110" s="78"/>
      <c r="G110" s="78"/>
      <c r="H110" s="78"/>
      <c r="I110" s="78"/>
      <c r="J110" s="78"/>
      <c r="K110" s="80"/>
      <c r="L110" s="78"/>
      <c r="M110" s="78"/>
      <c r="N110" s="78"/>
      <c r="O110" s="78"/>
      <c r="P110" s="80"/>
      <c r="Q110" s="78"/>
      <c r="R110" s="89"/>
      <c r="S110" s="81"/>
      <c r="T110" s="67"/>
      <c r="U110" s="67"/>
      <c r="V110" s="67"/>
      <c r="W110" s="67"/>
      <c r="X110" s="67"/>
      <c r="Y110" s="67"/>
      <c r="Z110" s="67"/>
    </row>
    <row r="111" spans="1:26" s="82" customFormat="1">
      <c r="A111" s="83"/>
      <c r="B111" s="84"/>
      <c r="C111" s="84"/>
      <c r="D111" s="84"/>
      <c r="E111" s="84"/>
      <c r="F111" s="84"/>
      <c r="G111" s="84"/>
      <c r="H111" s="84"/>
      <c r="I111" s="84"/>
      <c r="J111" s="84"/>
      <c r="K111" s="86"/>
      <c r="L111" s="84"/>
      <c r="M111" s="84"/>
      <c r="N111" s="84"/>
      <c r="O111" s="84"/>
      <c r="P111" s="86"/>
      <c r="Q111" s="84"/>
      <c r="R111" s="90"/>
      <c r="S111" s="87"/>
      <c r="T111" s="67"/>
      <c r="U111" s="67"/>
      <c r="V111" s="67"/>
      <c r="W111" s="67"/>
      <c r="X111" s="67"/>
      <c r="Y111" s="67"/>
      <c r="Z111" s="67"/>
    </row>
    <row r="112" spans="1:26" s="82" customFormat="1">
      <c r="A112" s="83"/>
      <c r="B112" s="78"/>
      <c r="C112" s="78"/>
      <c r="D112" s="78"/>
      <c r="E112" s="78"/>
      <c r="F112" s="78"/>
      <c r="G112" s="78"/>
      <c r="H112" s="78"/>
      <c r="I112" s="78"/>
      <c r="J112" s="78"/>
      <c r="K112" s="80"/>
      <c r="L112" s="78"/>
      <c r="M112" s="78"/>
      <c r="N112" s="78"/>
      <c r="O112" s="78"/>
      <c r="P112" s="80"/>
      <c r="Q112" s="78"/>
      <c r="R112" s="89"/>
      <c r="S112" s="81"/>
      <c r="T112" s="67"/>
      <c r="U112" s="67"/>
      <c r="V112" s="67"/>
      <c r="W112" s="67"/>
      <c r="X112" s="67"/>
      <c r="Y112" s="67"/>
      <c r="Z112" s="67"/>
    </row>
    <row r="113" spans="1:26" s="82" customFormat="1">
      <c r="A113" s="83"/>
      <c r="B113" s="84"/>
      <c r="C113" s="84"/>
      <c r="D113" s="84"/>
      <c r="E113" s="84"/>
      <c r="F113" s="84"/>
      <c r="G113" s="84"/>
      <c r="H113" s="84"/>
      <c r="I113" s="84"/>
      <c r="J113" s="84"/>
      <c r="K113" s="86"/>
      <c r="L113" s="84"/>
      <c r="M113" s="84"/>
      <c r="N113" s="84"/>
      <c r="O113" s="84"/>
      <c r="P113" s="86"/>
      <c r="Q113" s="84"/>
      <c r="R113" s="90"/>
      <c r="S113" s="87"/>
      <c r="T113" s="67"/>
      <c r="U113" s="67"/>
      <c r="V113" s="67"/>
      <c r="W113" s="67"/>
      <c r="X113" s="67"/>
      <c r="Y113" s="67"/>
      <c r="Z113" s="67"/>
    </row>
    <row r="114" spans="1:26" s="82" customFormat="1">
      <c r="A114" s="83"/>
      <c r="B114" s="78"/>
      <c r="C114" s="78"/>
      <c r="D114" s="78"/>
      <c r="E114" s="78"/>
      <c r="F114" s="78"/>
      <c r="G114" s="78"/>
      <c r="H114" s="78"/>
      <c r="I114" s="78"/>
      <c r="J114" s="78"/>
      <c r="K114" s="80"/>
      <c r="L114" s="78"/>
      <c r="M114" s="78"/>
      <c r="N114" s="78"/>
      <c r="O114" s="78"/>
      <c r="P114" s="80"/>
      <c r="Q114" s="78"/>
      <c r="R114" s="89"/>
      <c r="S114" s="81"/>
      <c r="T114" s="67"/>
      <c r="U114" s="67"/>
      <c r="V114" s="67"/>
      <c r="W114" s="67"/>
      <c r="X114" s="67"/>
      <c r="Y114" s="67"/>
      <c r="Z114" s="67"/>
    </row>
    <row r="115" spans="1:26" s="82" customFormat="1">
      <c r="A115" s="83"/>
      <c r="B115" s="84"/>
      <c r="C115" s="84"/>
      <c r="D115" s="84"/>
      <c r="E115" s="84"/>
      <c r="F115" s="84"/>
      <c r="G115" s="84"/>
      <c r="H115" s="84"/>
      <c r="I115" s="84"/>
      <c r="J115" s="84"/>
      <c r="K115" s="86"/>
      <c r="L115" s="84"/>
      <c r="M115" s="84"/>
      <c r="N115" s="84"/>
      <c r="O115" s="84"/>
      <c r="P115" s="86"/>
      <c r="Q115" s="84"/>
      <c r="R115" s="90"/>
      <c r="S115" s="87"/>
      <c r="T115" s="67"/>
      <c r="U115" s="67"/>
      <c r="V115" s="67"/>
      <c r="W115" s="67"/>
      <c r="X115" s="67"/>
      <c r="Y115" s="67"/>
      <c r="Z115" s="67"/>
    </row>
    <row r="116" spans="1:26" s="82" customFormat="1">
      <c r="A116" s="83"/>
      <c r="B116" s="78"/>
      <c r="C116" s="78"/>
      <c r="D116" s="78"/>
      <c r="E116" s="78"/>
      <c r="F116" s="78"/>
      <c r="G116" s="78"/>
      <c r="H116" s="78"/>
      <c r="I116" s="78"/>
      <c r="J116" s="78"/>
      <c r="K116" s="80"/>
      <c r="L116" s="78"/>
      <c r="M116" s="78"/>
      <c r="N116" s="78"/>
      <c r="O116" s="78"/>
      <c r="P116" s="80"/>
      <c r="Q116" s="78"/>
      <c r="R116" s="89"/>
      <c r="S116" s="81"/>
      <c r="T116" s="67"/>
      <c r="U116" s="67"/>
      <c r="V116" s="67"/>
      <c r="W116" s="67"/>
      <c r="X116" s="67"/>
      <c r="Y116" s="67"/>
      <c r="Z116" s="67"/>
    </row>
    <row r="117" spans="1:26" s="82" customFormat="1">
      <c r="A117" s="88"/>
      <c r="B117" s="84"/>
      <c r="C117" s="84"/>
      <c r="D117" s="84"/>
      <c r="E117" s="84"/>
      <c r="F117" s="84"/>
      <c r="G117" s="84"/>
      <c r="H117" s="84"/>
      <c r="I117" s="84"/>
      <c r="J117" s="84"/>
      <c r="K117" s="86"/>
      <c r="L117" s="84"/>
      <c r="M117" s="84"/>
      <c r="N117" s="84"/>
      <c r="O117" s="84"/>
      <c r="P117" s="86"/>
      <c r="Q117" s="84"/>
      <c r="R117" s="90"/>
      <c r="S117" s="87"/>
      <c r="T117" s="67"/>
      <c r="U117" s="67"/>
      <c r="V117" s="67"/>
      <c r="W117" s="67"/>
      <c r="X117" s="67"/>
      <c r="Y117" s="67"/>
      <c r="Z117" s="67"/>
    </row>
    <row r="118" spans="1:26" s="82" customFormat="1">
      <c r="A118" s="77"/>
      <c r="B118" s="78"/>
      <c r="C118" s="78"/>
      <c r="D118" s="78"/>
      <c r="E118" s="78"/>
      <c r="F118" s="78"/>
      <c r="G118" s="78"/>
      <c r="H118" s="78"/>
      <c r="I118" s="78"/>
      <c r="J118" s="78"/>
      <c r="K118" s="80"/>
      <c r="L118" s="78"/>
      <c r="M118" s="78"/>
      <c r="N118" s="78"/>
      <c r="O118" s="78"/>
      <c r="P118" s="80"/>
      <c r="Q118" s="78"/>
      <c r="R118" s="89"/>
      <c r="S118" s="81"/>
      <c r="T118" s="67"/>
      <c r="U118" s="67"/>
      <c r="V118" s="67"/>
      <c r="W118" s="67"/>
      <c r="X118" s="67"/>
      <c r="Y118" s="67"/>
      <c r="Z118" s="67"/>
    </row>
    <row r="119" spans="1:26" s="82" customFormat="1">
      <c r="A119" s="83"/>
      <c r="B119" s="84"/>
      <c r="C119" s="84"/>
      <c r="D119" s="84"/>
      <c r="E119" s="84"/>
      <c r="F119" s="84"/>
      <c r="G119" s="84"/>
      <c r="H119" s="84"/>
      <c r="I119" s="84"/>
      <c r="J119" s="84"/>
      <c r="K119" s="86"/>
      <c r="L119" s="84"/>
      <c r="M119" s="84"/>
      <c r="N119" s="84"/>
      <c r="O119" s="84"/>
      <c r="P119" s="86"/>
      <c r="Q119" s="84"/>
      <c r="R119" s="90"/>
      <c r="S119" s="87"/>
      <c r="T119" s="67"/>
      <c r="U119" s="67"/>
      <c r="V119" s="67"/>
      <c r="W119" s="67"/>
      <c r="X119" s="67"/>
      <c r="Y119" s="67"/>
      <c r="Z119" s="67"/>
    </row>
    <row r="120" spans="1:26" s="82" customFormat="1">
      <c r="A120" s="83"/>
      <c r="B120" s="78"/>
      <c r="C120" s="78"/>
      <c r="D120" s="78"/>
      <c r="E120" s="78"/>
      <c r="F120" s="78"/>
      <c r="G120" s="78"/>
      <c r="H120" s="78"/>
      <c r="I120" s="78"/>
      <c r="J120" s="78"/>
      <c r="K120" s="80"/>
      <c r="L120" s="78"/>
      <c r="M120" s="78"/>
      <c r="N120" s="78"/>
      <c r="O120" s="78"/>
      <c r="P120" s="80"/>
      <c r="Q120" s="78"/>
      <c r="R120" s="89"/>
      <c r="S120" s="81"/>
      <c r="T120" s="67"/>
      <c r="U120" s="67"/>
      <c r="V120" s="67"/>
      <c r="W120" s="67"/>
      <c r="X120" s="67"/>
      <c r="Y120" s="67"/>
      <c r="Z120" s="67"/>
    </row>
    <row r="121" spans="1:26" s="82" customFormat="1">
      <c r="A121" s="83"/>
      <c r="B121" s="84"/>
      <c r="C121" s="84"/>
      <c r="D121" s="84"/>
      <c r="E121" s="84"/>
      <c r="F121" s="84"/>
      <c r="G121" s="84"/>
      <c r="H121" s="84"/>
      <c r="I121" s="84"/>
      <c r="J121" s="84"/>
      <c r="K121" s="86"/>
      <c r="L121" s="84"/>
      <c r="M121" s="84"/>
      <c r="N121" s="84"/>
      <c r="O121" s="84"/>
      <c r="P121" s="86"/>
      <c r="Q121" s="84"/>
      <c r="R121" s="90"/>
      <c r="S121" s="87"/>
      <c r="T121" s="67"/>
      <c r="U121" s="67"/>
      <c r="V121" s="67"/>
      <c r="W121" s="67"/>
      <c r="X121" s="67"/>
      <c r="Y121" s="67"/>
      <c r="Z121" s="67"/>
    </row>
    <row r="122" spans="1:26" s="82" customFormat="1">
      <c r="A122" s="83"/>
      <c r="B122" s="78"/>
      <c r="C122" s="78"/>
      <c r="D122" s="78"/>
      <c r="E122" s="78"/>
      <c r="F122" s="78"/>
      <c r="G122" s="78"/>
      <c r="H122" s="78"/>
      <c r="I122" s="78"/>
      <c r="J122" s="78"/>
      <c r="K122" s="80"/>
      <c r="L122" s="78"/>
      <c r="M122" s="78"/>
      <c r="N122" s="78"/>
      <c r="O122" s="78"/>
      <c r="P122" s="80"/>
      <c r="Q122" s="78"/>
      <c r="R122" s="89"/>
      <c r="S122" s="81"/>
      <c r="T122" s="67"/>
      <c r="U122" s="67"/>
      <c r="V122" s="67"/>
      <c r="W122" s="67"/>
      <c r="X122" s="67"/>
      <c r="Y122" s="67"/>
      <c r="Z122" s="67"/>
    </row>
    <row r="123" spans="1:26" s="82" customFormat="1">
      <c r="A123" s="83"/>
      <c r="B123" s="84"/>
      <c r="C123" s="84"/>
      <c r="D123" s="84"/>
      <c r="E123" s="84"/>
      <c r="F123" s="84"/>
      <c r="G123" s="84"/>
      <c r="H123" s="84"/>
      <c r="I123" s="84"/>
      <c r="J123" s="84"/>
      <c r="K123" s="86"/>
      <c r="L123" s="84"/>
      <c r="M123" s="84"/>
      <c r="N123" s="84"/>
      <c r="O123" s="84"/>
      <c r="P123" s="86"/>
      <c r="Q123" s="84"/>
      <c r="R123" s="90"/>
      <c r="S123" s="87"/>
      <c r="T123" s="67"/>
      <c r="U123" s="67"/>
      <c r="V123" s="67"/>
      <c r="W123" s="67"/>
      <c r="X123" s="67"/>
      <c r="Y123" s="67"/>
      <c r="Z123" s="67"/>
    </row>
    <row r="124" spans="1:26" s="82" customFormat="1">
      <c r="A124" s="83"/>
      <c r="B124" s="78"/>
      <c r="C124" s="78"/>
      <c r="D124" s="78"/>
      <c r="E124" s="78"/>
      <c r="F124" s="78"/>
      <c r="G124" s="78"/>
      <c r="H124" s="78"/>
      <c r="I124" s="78"/>
      <c r="J124" s="78"/>
      <c r="K124" s="80"/>
      <c r="L124" s="78"/>
      <c r="M124" s="78"/>
      <c r="N124" s="78"/>
      <c r="O124" s="78"/>
      <c r="P124" s="80"/>
      <c r="Q124" s="78"/>
      <c r="R124" s="89"/>
      <c r="S124" s="81"/>
      <c r="T124" s="67"/>
      <c r="U124" s="67"/>
      <c r="V124" s="67"/>
      <c r="W124" s="67"/>
      <c r="X124" s="67"/>
      <c r="Y124" s="67"/>
      <c r="Z124" s="67"/>
    </row>
    <row r="125" spans="1:26" s="82" customFormat="1">
      <c r="A125" s="88"/>
      <c r="B125" s="84"/>
      <c r="C125" s="84"/>
      <c r="D125" s="84"/>
      <c r="E125" s="84"/>
      <c r="F125" s="84"/>
      <c r="G125" s="84"/>
      <c r="H125" s="84"/>
      <c r="I125" s="84"/>
      <c r="J125" s="84"/>
      <c r="K125" s="86"/>
      <c r="L125" s="84"/>
      <c r="M125" s="84"/>
      <c r="N125" s="84"/>
      <c r="O125" s="84"/>
      <c r="P125" s="86"/>
      <c r="Q125" s="84"/>
      <c r="R125" s="90"/>
      <c r="S125" s="87"/>
      <c r="T125" s="67"/>
      <c r="U125" s="67"/>
      <c r="V125" s="67"/>
      <c r="W125" s="67"/>
      <c r="X125" s="67"/>
      <c r="Y125" s="67"/>
      <c r="Z125" s="67"/>
    </row>
    <row r="126" spans="1:26" s="82" customFormat="1">
      <c r="A126" s="77"/>
      <c r="B126" s="78"/>
      <c r="C126" s="78"/>
      <c r="D126" s="78"/>
      <c r="E126" s="78"/>
      <c r="F126" s="78"/>
      <c r="G126" s="78"/>
      <c r="H126" s="78"/>
      <c r="I126" s="78"/>
      <c r="J126" s="78"/>
      <c r="K126" s="80"/>
      <c r="L126" s="78"/>
      <c r="M126" s="78"/>
      <c r="N126" s="78"/>
      <c r="O126" s="78"/>
      <c r="P126" s="80"/>
      <c r="Q126" s="78"/>
      <c r="R126" s="89"/>
      <c r="S126" s="81"/>
      <c r="T126" s="67"/>
      <c r="U126" s="67"/>
      <c r="V126" s="67"/>
      <c r="W126" s="67"/>
      <c r="X126" s="67"/>
      <c r="Y126" s="67"/>
      <c r="Z126" s="67"/>
    </row>
    <row r="127" spans="1:26" s="82" customFormat="1">
      <c r="A127" s="83"/>
      <c r="B127" s="84"/>
      <c r="C127" s="84"/>
      <c r="D127" s="84"/>
      <c r="E127" s="84"/>
      <c r="F127" s="84"/>
      <c r="G127" s="84"/>
      <c r="H127" s="84"/>
      <c r="I127" s="84"/>
      <c r="J127" s="84"/>
      <c r="K127" s="86"/>
      <c r="L127" s="84"/>
      <c r="M127" s="84"/>
      <c r="N127" s="84"/>
      <c r="O127" s="84"/>
      <c r="P127" s="86"/>
      <c r="Q127" s="84"/>
      <c r="R127" s="90"/>
      <c r="S127" s="87"/>
      <c r="T127" s="67"/>
      <c r="U127" s="67"/>
      <c r="V127" s="67"/>
      <c r="W127" s="67"/>
      <c r="X127" s="67"/>
      <c r="Y127" s="67"/>
      <c r="Z127" s="67"/>
    </row>
    <row r="128" spans="1:26" s="82" customFormat="1">
      <c r="A128" s="83"/>
      <c r="B128" s="78"/>
      <c r="C128" s="78"/>
      <c r="D128" s="78"/>
      <c r="E128" s="78"/>
      <c r="F128" s="78"/>
      <c r="G128" s="78"/>
      <c r="H128" s="78"/>
      <c r="I128" s="78"/>
      <c r="J128" s="78"/>
      <c r="K128" s="80"/>
      <c r="L128" s="78"/>
      <c r="M128" s="78"/>
      <c r="N128" s="78"/>
      <c r="O128" s="78"/>
      <c r="P128" s="80"/>
      <c r="Q128" s="78"/>
      <c r="R128" s="89"/>
      <c r="S128" s="81"/>
      <c r="T128" s="67"/>
      <c r="U128" s="67"/>
      <c r="V128" s="67"/>
      <c r="W128" s="67"/>
      <c r="X128" s="67"/>
      <c r="Y128" s="67"/>
      <c r="Z128" s="67"/>
    </row>
    <row r="129" spans="1:26" s="82" customFormat="1">
      <c r="A129" s="83"/>
      <c r="B129" s="84"/>
      <c r="C129" s="84"/>
      <c r="D129" s="84"/>
      <c r="E129" s="84"/>
      <c r="F129" s="84"/>
      <c r="G129" s="84"/>
      <c r="H129" s="84"/>
      <c r="I129" s="84"/>
      <c r="J129" s="84"/>
      <c r="K129" s="86"/>
      <c r="L129" s="84"/>
      <c r="M129" s="84"/>
      <c r="N129" s="84"/>
      <c r="O129" s="84"/>
      <c r="P129" s="86"/>
      <c r="Q129" s="84"/>
      <c r="R129" s="90"/>
      <c r="S129" s="87"/>
      <c r="T129" s="67"/>
      <c r="U129" s="67"/>
      <c r="V129" s="67"/>
      <c r="W129" s="67"/>
      <c r="X129" s="67"/>
      <c r="Y129" s="67"/>
      <c r="Z129" s="67"/>
    </row>
    <row r="130" spans="1:26" s="82" customFormat="1">
      <c r="A130" s="83"/>
      <c r="B130" s="78"/>
      <c r="C130" s="78"/>
      <c r="D130" s="78"/>
      <c r="E130" s="78"/>
      <c r="F130" s="78"/>
      <c r="G130" s="78"/>
      <c r="H130" s="78"/>
      <c r="I130" s="78"/>
      <c r="J130" s="78"/>
      <c r="K130" s="80"/>
      <c r="L130" s="78"/>
      <c r="M130" s="78"/>
      <c r="N130" s="78"/>
      <c r="O130" s="78"/>
      <c r="P130" s="80"/>
      <c r="Q130" s="78"/>
      <c r="R130" s="89"/>
      <c r="S130" s="81"/>
      <c r="T130" s="67"/>
      <c r="U130" s="67"/>
      <c r="V130" s="67"/>
      <c r="W130" s="67"/>
      <c r="X130" s="67"/>
      <c r="Y130" s="67"/>
      <c r="Z130" s="67"/>
    </row>
    <row r="131" spans="1:26" s="82" customFormat="1">
      <c r="A131" s="83"/>
      <c r="B131" s="84"/>
      <c r="C131" s="84"/>
      <c r="D131" s="84"/>
      <c r="E131" s="84"/>
      <c r="F131" s="84"/>
      <c r="G131" s="84"/>
      <c r="H131" s="84"/>
      <c r="I131" s="84"/>
      <c r="J131" s="84"/>
      <c r="K131" s="86"/>
      <c r="L131" s="84"/>
      <c r="M131" s="84"/>
      <c r="N131" s="84"/>
      <c r="O131" s="84"/>
      <c r="P131" s="86"/>
      <c r="Q131" s="84"/>
      <c r="R131" s="90"/>
      <c r="S131" s="87"/>
      <c r="T131" s="67"/>
      <c r="U131" s="67"/>
      <c r="V131" s="67"/>
      <c r="W131" s="67"/>
      <c r="X131" s="67"/>
      <c r="Y131" s="67"/>
      <c r="Z131" s="67"/>
    </row>
    <row r="132" spans="1:26" s="82" customFormat="1">
      <c r="A132" s="83"/>
      <c r="B132" s="78"/>
      <c r="C132" s="78"/>
      <c r="D132" s="78"/>
      <c r="E132" s="78"/>
      <c r="F132" s="78"/>
      <c r="G132" s="78"/>
      <c r="H132" s="78"/>
      <c r="I132" s="78"/>
      <c r="J132" s="78"/>
      <c r="K132" s="80"/>
      <c r="L132" s="78"/>
      <c r="M132" s="78"/>
      <c r="N132" s="78"/>
      <c r="O132" s="78"/>
      <c r="P132" s="80"/>
      <c r="Q132" s="78"/>
      <c r="R132" s="89"/>
      <c r="S132" s="81"/>
      <c r="T132" s="67"/>
      <c r="U132" s="67"/>
      <c r="V132" s="67"/>
      <c r="W132" s="67"/>
      <c r="X132" s="67"/>
      <c r="Y132" s="67"/>
      <c r="Z132" s="67"/>
    </row>
    <row r="133" spans="1:26" s="82" customFormat="1">
      <c r="A133" s="88"/>
      <c r="B133" s="84"/>
      <c r="C133" s="84"/>
      <c r="D133" s="84"/>
      <c r="E133" s="84"/>
      <c r="F133" s="84"/>
      <c r="G133" s="84"/>
      <c r="H133" s="84"/>
      <c r="I133" s="84"/>
      <c r="J133" s="84"/>
      <c r="K133" s="86"/>
      <c r="L133" s="84"/>
      <c r="M133" s="84"/>
      <c r="N133" s="84"/>
      <c r="O133" s="84"/>
      <c r="P133" s="86"/>
      <c r="Q133" s="84"/>
      <c r="R133" s="90"/>
      <c r="S133" s="87"/>
      <c r="T133" s="67"/>
      <c r="U133" s="67"/>
      <c r="V133" s="67"/>
      <c r="W133" s="67"/>
      <c r="X133" s="67"/>
      <c r="Y133" s="67"/>
      <c r="Z133" s="67"/>
    </row>
    <row r="134" spans="1:26" s="82" customFormat="1">
      <c r="B134" s="93"/>
      <c r="P134" s="94"/>
      <c r="S134" s="95"/>
      <c r="T134" s="95"/>
      <c r="U134" s="95"/>
      <c r="V134" s="95"/>
    </row>
    <row r="135" spans="1:26" s="82" customFormat="1">
      <c r="S135" s="95"/>
      <c r="T135" s="95"/>
      <c r="U135" s="95"/>
      <c r="V135" s="95"/>
    </row>
    <row r="136" spans="1:26" s="82" customFormat="1">
      <c r="S136" s="95"/>
      <c r="T136" s="95"/>
      <c r="U136" s="95"/>
      <c r="V136" s="95"/>
    </row>
    <row r="137" spans="1:26" s="82" customFormat="1">
      <c r="B137" s="93"/>
      <c r="P137" s="94"/>
      <c r="S137" s="95"/>
      <c r="T137" s="95"/>
      <c r="U137" s="95"/>
      <c r="V137" s="95"/>
    </row>
    <row r="138" spans="1:26" s="82" customFormat="1">
      <c r="S138" s="95"/>
      <c r="T138" s="95"/>
      <c r="U138" s="95"/>
      <c r="V138" s="95"/>
    </row>
    <row r="139" spans="1:26" s="82" customFormat="1">
      <c r="S139" s="95"/>
      <c r="T139" s="95"/>
      <c r="U139" s="95"/>
      <c r="V139" s="95"/>
    </row>
    <row r="140" spans="1:26" s="82" customFormat="1">
      <c r="B140" s="93"/>
      <c r="P140" s="94"/>
      <c r="S140" s="95"/>
      <c r="T140" s="95"/>
      <c r="U140" s="95"/>
      <c r="V140" s="95"/>
    </row>
    <row r="141" spans="1:26" s="82" customFormat="1">
      <c r="S141" s="95"/>
      <c r="T141" s="95"/>
      <c r="U141" s="95"/>
      <c r="V141" s="95"/>
    </row>
    <row r="142" spans="1:26" s="82" customFormat="1">
      <c r="S142" s="95"/>
      <c r="T142" s="95"/>
      <c r="U142" s="95"/>
      <c r="V142" s="95"/>
    </row>
    <row r="143" spans="1:26" s="82" customFormat="1">
      <c r="B143" s="93"/>
      <c r="P143" s="94"/>
      <c r="S143" s="95"/>
      <c r="T143" s="95"/>
      <c r="U143" s="95"/>
      <c r="V143" s="95"/>
    </row>
    <row r="144" spans="1:26" s="82" customFormat="1">
      <c r="S144" s="95"/>
      <c r="T144" s="95"/>
      <c r="U144" s="95"/>
      <c r="V144" s="95"/>
    </row>
    <row r="145" spans="2:22" s="82" customFormat="1">
      <c r="S145" s="95"/>
      <c r="T145" s="95"/>
      <c r="U145" s="95"/>
      <c r="V145" s="95"/>
    </row>
    <row r="146" spans="2:22" s="82" customFormat="1">
      <c r="B146" s="93"/>
      <c r="P146" s="94"/>
      <c r="S146" s="95"/>
      <c r="T146" s="95"/>
      <c r="U146" s="95"/>
      <c r="V146" s="95"/>
    </row>
    <row r="147" spans="2:22" s="82" customFormat="1">
      <c r="S147" s="95"/>
      <c r="T147" s="95"/>
      <c r="U147" s="95"/>
      <c r="V147" s="95"/>
    </row>
    <row r="148" spans="2:22" s="82" customFormat="1">
      <c r="S148" s="95"/>
      <c r="T148" s="95"/>
      <c r="U148" s="95"/>
      <c r="V148" s="95"/>
    </row>
    <row r="149" spans="2:22" s="82" customFormat="1">
      <c r="B149" s="93"/>
      <c r="P149" s="94"/>
      <c r="S149" s="95"/>
      <c r="T149" s="95"/>
      <c r="U149" s="95"/>
      <c r="V149" s="95"/>
    </row>
    <row r="150" spans="2:22" s="82" customFormat="1">
      <c r="S150" s="95"/>
      <c r="T150" s="95"/>
      <c r="U150" s="95"/>
      <c r="V150" s="95"/>
    </row>
    <row r="151" spans="2:22" s="82" customFormat="1">
      <c r="S151" s="95"/>
      <c r="T151" s="95"/>
      <c r="U151" s="95"/>
      <c r="V151" s="95"/>
    </row>
    <row r="152" spans="2:22" s="82" customFormat="1">
      <c r="B152" s="93"/>
      <c r="P152" s="94"/>
      <c r="S152" s="95"/>
      <c r="T152" s="95"/>
      <c r="U152" s="95"/>
      <c r="V152" s="95"/>
    </row>
    <row r="153" spans="2:22" s="82" customFormat="1">
      <c r="S153" s="95"/>
      <c r="T153" s="95"/>
      <c r="U153" s="95"/>
      <c r="V153" s="95"/>
    </row>
    <row r="154" spans="2:22" s="82" customFormat="1">
      <c r="S154" s="95"/>
      <c r="T154" s="95"/>
      <c r="U154" s="95"/>
      <c r="V154" s="95"/>
    </row>
    <row r="155" spans="2:22" s="82" customFormat="1">
      <c r="B155" s="93"/>
      <c r="P155" s="94"/>
      <c r="S155" s="95"/>
      <c r="T155" s="95"/>
      <c r="U155" s="95"/>
      <c r="V155" s="95"/>
    </row>
    <row r="156" spans="2:22" s="82" customFormat="1">
      <c r="S156" s="95"/>
      <c r="T156" s="95"/>
      <c r="U156" s="95"/>
      <c r="V156" s="95"/>
    </row>
    <row r="157" spans="2:22" s="82" customFormat="1">
      <c r="S157" s="95"/>
      <c r="T157" s="95"/>
      <c r="U157" s="95"/>
      <c r="V157" s="95"/>
    </row>
    <row r="158" spans="2:22" s="82" customFormat="1">
      <c r="B158" s="93"/>
      <c r="P158" s="94"/>
      <c r="S158" s="95"/>
      <c r="T158" s="95"/>
      <c r="U158" s="95"/>
      <c r="V158" s="95"/>
    </row>
    <row r="159" spans="2:22" s="82" customFormat="1">
      <c r="S159" s="95"/>
      <c r="T159" s="95"/>
      <c r="U159" s="95"/>
      <c r="V159" s="95"/>
    </row>
    <row r="160" spans="2:22" s="82" customFormat="1">
      <c r="S160" s="95"/>
      <c r="T160" s="95"/>
      <c r="U160" s="95"/>
      <c r="V160" s="95"/>
    </row>
    <row r="161" spans="2:22" s="82" customFormat="1">
      <c r="B161" s="93"/>
      <c r="P161" s="94"/>
      <c r="S161" s="95"/>
      <c r="T161" s="95"/>
      <c r="U161" s="95"/>
      <c r="V161" s="95"/>
    </row>
    <row r="162" spans="2:22" s="82" customFormat="1">
      <c r="S162" s="95"/>
      <c r="T162" s="95"/>
      <c r="U162" s="95"/>
      <c r="V162" s="95"/>
    </row>
    <row r="163" spans="2:22" s="82" customFormat="1">
      <c r="S163" s="95"/>
      <c r="T163" s="95"/>
      <c r="U163" s="95"/>
      <c r="V163" s="95"/>
    </row>
    <row r="164" spans="2:22" s="82" customFormat="1">
      <c r="B164" s="93"/>
      <c r="P164" s="94"/>
      <c r="S164" s="95"/>
      <c r="T164" s="95"/>
      <c r="U164" s="95"/>
      <c r="V164" s="95"/>
    </row>
    <row r="165" spans="2:22" s="82" customFormat="1">
      <c r="S165" s="95"/>
      <c r="T165" s="95"/>
      <c r="U165" s="95"/>
      <c r="V165" s="95"/>
    </row>
    <row r="166" spans="2:22" s="82" customFormat="1">
      <c r="S166" s="95"/>
      <c r="T166" s="95"/>
      <c r="U166" s="95"/>
      <c r="V166" s="95"/>
    </row>
    <row r="167" spans="2:22" s="82" customFormat="1">
      <c r="B167" s="93"/>
      <c r="P167" s="94"/>
      <c r="S167" s="95"/>
      <c r="T167" s="95"/>
      <c r="U167" s="95"/>
      <c r="V167" s="95"/>
    </row>
    <row r="168" spans="2:22" s="82" customFormat="1">
      <c r="S168" s="95"/>
      <c r="T168" s="95"/>
      <c r="U168" s="95"/>
      <c r="V168" s="95"/>
    </row>
    <row r="169" spans="2:22" s="82" customFormat="1">
      <c r="S169" s="95"/>
      <c r="T169" s="95"/>
      <c r="U169" s="95"/>
      <c r="V169" s="95"/>
    </row>
    <row r="170" spans="2:22" s="82" customFormat="1">
      <c r="B170" s="93"/>
      <c r="P170" s="94"/>
      <c r="S170" s="95"/>
      <c r="T170" s="95"/>
      <c r="U170" s="95"/>
      <c r="V170" s="95"/>
    </row>
    <row r="171" spans="2:22" s="82" customFormat="1">
      <c r="S171" s="95"/>
      <c r="T171" s="95"/>
      <c r="U171" s="95"/>
      <c r="V171" s="95"/>
    </row>
    <row r="172" spans="2:22" s="82" customFormat="1">
      <c r="S172" s="95"/>
      <c r="T172" s="95"/>
      <c r="U172" s="95"/>
      <c r="V172" s="95"/>
    </row>
    <row r="173" spans="2:22" s="82" customFormat="1">
      <c r="B173" s="93"/>
      <c r="P173" s="94"/>
      <c r="S173" s="95"/>
      <c r="T173" s="95"/>
      <c r="U173" s="95"/>
      <c r="V173" s="95"/>
    </row>
    <row r="174" spans="2:22" s="82" customFormat="1">
      <c r="S174" s="95"/>
      <c r="T174" s="95"/>
      <c r="U174" s="95"/>
      <c r="V174" s="95"/>
    </row>
    <row r="175" spans="2:22" s="82" customFormat="1">
      <c r="S175" s="95"/>
      <c r="T175" s="95"/>
      <c r="U175" s="95"/>
      <c r="V175" s="95"/>
    </row>
    <row r="176" spans="2:22" s="82" customFormat="1">
      <c r="B176" s="93"/>
      <c r="P176" s="94"/>
      <c r="S176" s="95"/>
      <c r="T176" s="95"/>
      <c r="U176" s="95"/>
      <c r="V176" s="95"/>
    </row>
    <row r="177" spans="2:22" s="82" customFormat="1">
      <c r="S177" s="95"/>
      <c r="T177" s="95"/>
      <c r="U177" s="95"/>
      <c r="V177" s="95"/>
    </row>
    <row r="178" spans="2:22" s="82" customFormat="1">
      <c r="S178" s="95"/>
      <c r="T178" s="95"/>
      <c r="U178" s="95"/>
      <c r="V178" s="95"/>
    </row>
    <row r="179" spans="2:22" s="82" customFormat="1">
      <c r="B179" s="93"/>
      <c r="P179" s="94"/>
      <c r="S179" s="95"/>
      <c r="T179" s="95"/>
      <c r="U179" s="95"/>
      <c r="V179" s="95"/>
    </row>
    <row r="180" spans="2:22" s="82" customFormat="1">
      <c r="S180" s="95"/>
      <c r="T180" s="95"/>
      <c r="U180" s="95"/>
      <c r="V180" s="95"/>
    </row>
    <row r="181" spans="2:22" s="82" customFormat="1">
      <c r="S181" s="95"/>
      <c r="T181" s="95"/>
      <c r="U181" s="95"/>
      <c r="V181" s="95"/>
    </row>
    <row r="182" spans="2:22" s="82" customFormat="1">
      <c r="B182" s="93"/>
      <c r="P182" s="94"/>
      <c r="S182" s="95"/>
      <c r="T182" s="95"/>
      <c r="U182" s="95"/>
      <c r="V182" s="95"/>
    </row>
    <row r="183" spans="2:22" s="82" customFormat="1">
      <c r="S183" s="95"/>
      <c r="T183" s="95"/>
      <c r="U183" s="95"/>
      <c r="V183" s="95"/>
    </row>
    <row r="184" spans="2:22" s="82" customFormat="1">
      <c r="S184" s="95"/>
      <c r="T184" s="95"/>
      <c r="U184" s="95"/>
      <c r="V184" s="95"/>
    </row>
    <row r="185" spans="2:22" s="82" customFormat="1">
      <c r="B185" s="93"/>
      <c r="P185" s="94"/>
      <c r="S185" s="95"/>
      <c r="T185" s="95"/>
      <c r="U185" s="95"/>
      <c r="V185" s="95"/>
    </row>
    <row r="186" spans="2:22" s="82" customFormat="1">
      <c r="S186" s="95"/>
      <c r="T186" s="95"/>
      <c r="U186" s="95"/>
      <c r="V186" s="95"/>
    </row>
    <row r="187" spans="2:22" s="82" customFormat="1">
      <c r="S187" s="95"/>
      <c r="T187" s="95"/>
      <c r="U187" s="95"/>
      <c r="V187" s="95"/>
    </row>
    <row r="188" spans="2:22" s="82" customFormat="1">
      <c r="B188" s="93"/>
      <c r="P188" s="94"/>
      <c r="S188" s="95"/>
      <c r="T188" s="95"/>
      <c r="U188" s="95"/>
      <c r="V188" s="95"/>
    </row>
    <row r="189" spans="2:22" s="82" customFormat="1">
      <c r="S189" s="95"/>
      <c r="T189" s="95"/>
      <c r="U189" s="95"/>
      <c r="V189" s="95"/>
    </row>
    <row r="190" spans="2:22" s="82" customFormat="1">
      <c r="S190" s="95"/>
      <c r="T190" s="95"/>
      <c r="U190" s="95"/>
      <c r="V190" s="95"/>
    </row>
    <row r="191" spans="2:22" s="82" customFormat="1">
      <c r="B191" s="93"/>
      <c r="P191" s="94"/>
      <c r="S191" s="95"/>
      <c r="T191" s="95"/>
      <c r="U191" s="95"/>
      <c r="V191" s="95"/>
    </row>
    <row r="192" spans="2:22" s="82" customFormat="1">
      <c r="S192" s="95"/>
      <c r="T192" s="95"/>
      <c r="U192" s="95"/>
      <c r="V192" s="95"/>
    </row>
    <row r="193" spans="2:22" s="82" customFormat="1">
      <c r="S193" s="95"/>
      <c r="T193" s="95"/>
      <c r="U193" s="95"/>
      <c r="V193" s="95"/>
    </row>
    <row r="194" spans="2:22" s="82" customFormat="1">
      <c r="B194" s="93"/>
      <c r="P194" s="94"/>
      <c r="S194" s="95"/>
      <c r="T194" s="95"/>
      <c r="U194" s="95"/>
      <c r="V194" s="95"/>
    </row>
    <row r="195" spans="2:22" s="82" customFormat="1">
      <c r="S195" s="95"/>
      <c r="T195" s="95"/>
      <c r="U195" s="95"/>
      <c r="V195" s="95"/>
    </row>
    <row r="196" spans="2:22" s="82" customFormat="1">
      <c r="S196" s="95"/>
      <c r="T196" s="95"/>
      <c r="U196" s="95"/>
      <c r="V196" s="95"/>
    </row>
    <row r="197" spans="2:22" s="82" customFormat="1">
      <c r="B197" s="93"/>
      <c r="P197" s="94"/>
      <c r="S197" s="95"/>
      <c r="T197" s="95"/>
      <c r="U197" s="95"/>
      <c r="V197" s="95"/>
    </row>
    <row r="198" spans="2:22" s="82" customFormat="1">
      <c r="S198" s="95"/>
      <c r="T198" s="95"/>
      <c r="U198" s="95"/>
      <c r="V198" s="95"/>
    </row>
    <row r="199" spans="2:22" s="82" customFormat="1">
      <c r="S199" s="95"/>
      <c r="T199" s="95"/>
      <c r="U199" s="95"/>
      <c r="V199" s="95"/>
    </row>
    <row r="200" spans="2:22" s="82" customFormat="1">
      <c r="B200" s="93"/>
      <c r="P200" s="94"/>
      <c r="S200" s="95"/>
      <c r="T200" s="95"/>
      <c r="U200" s="95"/>
      <c r="V200" s="95"/>
    </row>
    <row r="201" spans="2:22" s="82" customFormat="1">
      <c r="S201" s="95"/>
      <c r="T201" s="95"/>
      <c r="U201" s="95"/>
      <c r="V201" s="95"/>
    </row>
    <row r="202" spans="2:22" s="82" customFormat="1">
      <c r="S202" s="95"/>
      <c r="T202" s="95"/>
      <c r="U202" s="95"/>
      <c r="V202" s="95"/>
    </row>
    <row r="203" spans="2:22" s="82" customFormat="1">
      <c r="B203" s="93"/>
      <c r="P203" s="94"/>
      <c r="S203" s="95"/>
      <c r="T203" s="95"/>
      <c r="U203" s="95"/>
      <c r="V203" s="95"/>
    </row>
    <row r="204" spans="2:22" s="82" customFormat="1">
      <c r="S204" s="95"/>
      <c r="T204" s="95"/>
      <c r="U204" s="95"/>
      <c r="V204" s="95"/>
    </row>
    <row r="205" spans="2:22" s="82" customFormat="1">
      <c r="S205" s="95"/>
      <c r="T205" s="95"/>
      <c r="U205" s="95"/>
      <c r="V205" s="95"/>
    </row>
    <row r="206" spans="2:22" s="82" customFormat="1">
      <c r="B206" s="93"/>
      <c r="P206" s="94"/>
      <c r="S206" s="95"/>
      <c r="T206" s="95"/>
      <c r="U206" s="95"/>
      <c r="V206" s="95"/>
    </row>
    <row r="207" spans="2:22" s="82" customFormat="1">
      <c r="S207" s="95"/>
      <c r="T207" s="95"/>
      <c r="U207" s="95"/>
      <c r="V207" s="95"/>
    </row>
    <row r="208" spans="2:22" s="82" customFormat="1">
      <c r="S208" s="95"/>
      <c r="T208" s="95"/>
      <c r="U208" s="95"/>
      <c r="V208" s="95"/>
    </row>
    <row r="209" spans="2:22" s="82" customFormat="1">
      <c r="B209" s="93"/>
      <c r="P209" s="94"/>
      <c r="S209" s="95"/>
      <c r="T209" s="95"/>
      <c r="U209" s="95"/>
      <c r="V209" s="95"/>
    </row>
    <row r="210" spans="2:22" s="82" customFormat="1">
      <c r="S210" s="95"/>
      <c r="T210" s="95"/>
      <c r="U210" s="95"/>
      <c r="V210" s="95"/>
    </row>
    <row r="211" spans="2:22" s="82" customFormat="1">
      <c r="S211" s="95"/>
      <c r="T211" s="95"/>
      <c r="U211" s="95"/>
      <c r="V211" s="95"/>
    </row>
    <row r="212" spans="2:22" s="82" customFormat="1">
      <c r="B212" s="93"/>
      <c r="P212" s="94"/>
      <c r="S212" s="95"/>
      <c r="T212" s="95"/>
      <c r="U212" s="95"/>
      <c r="V212" s="95"/>
    </row>
    <row r="213" spans="2:22" s="82" customFormat="1">
      <c r="S213" s="95"/>
      <c r="T213" s="95"/>
      <c r="U213" s="95"/>
      <c r="V213" s="95"/>
    </row>
    <row r="214" spans="2:22" s="82" customFormat="1">
      <c r="S214" s="95"/>
      <c r="T214" s="95"/>
      <c r="U214" s="95"/>
      <c r="V214" s="95"/>
    </row>
    <row r="215" spans="2:22" s="82" customFormat="1">
      <c r="B215" s="93"/>
      <c r="P215" s="94"/>
      <c r="S215" s="95"/>
      <c r="T215" s="95"/>
      <c r="U215" s="95"/>
      <c r="V215" s="95"/>
    </row>
    <row r="216" spans="2:22" s="82" customFormat="1">
      <c r="S216" s="95"/>
      <c r="T216" s="95"/>
      <c r="U216" s="95"/>
      <c r="V216" s="95"/>
    </row>
    <row r="217" spans="2:22" s="82" customFormat="1">
      <c r="S217" s="95"/>
      <c r="T217" s="95"/>
      <c r="U217" s="95"/>
      <c r="V217" s="95"/>
    </row>
    <row r="218" spans="2:22" s="82" customFormat="1">
      <c r="B218" s="93"/>
      <c r="P218" s="94"/>
      <c r="S218" s="95"/>
      <c r="T218" s="95"/>
      <c r="U218" s="95"/>
      <c r="V218" s="95"/>
    </row>
    <row r="219" spans="2:22" s="82" customFormat="1">
      <c r="S219" s="95"/>
      <c r="T219" s="95"/>
      <c r="U219" s="95"/>
      <c r="V219" s="95"/>
    </row>
    <row r="220" spans="2:22" s="82" customFormat="1">
      <c r="S220" s="95"/>
      <c r="T220" s="95"/>
      <c r="U220" s="95"/>
      <c r="V220" s="95"/>
    </row>
    <row r="221" spans="2:22" s="82" customFormat="1">
      <c r="B221" s="93"/>
      <c r="P221" s="94"/>
      <c r="S221" s="95"/>
      <c r="T221" s="95"/>
      <c r="U221" s="95"/>
      <c r="V221" s="95"/>
    </row>
    <row r="222" spans="2:22" s="82" customFormat="1">
      <c r="S222" s="95"/>
      <c r="T222" s="95"/>
      <c r="U222" s="95"/>
      <c r="V222" s="95"/>
    </row>
    <row r="223" spans="2:22" s="82" customFormat="1">
      <c r="S223" s="95"/>
      <c r="T223" s="95"/>
      <c r="U223" s="95"/>
      <c r="V223" s="95"/>
    </row>
    <row r="224" spans="2:22" s="82" customFormat="1">
      <c r="B224" s="93"/>
      <c r="P224" s="94"/>
      <c r="S224" s="95"/>
      <c r="T224" s="95"/>
      <c r="U224" s="95"/>
      <c r="V224" s="95"/>
    </row>
    <row r="225" spans="2:22" s="82" customFormat="1">
      <c r="S225" s="95"/>
      <c r="T225" s="95"/>
      <c r="U225" s="95"/>
      <c r="V225" s="95"/>
    </row>
    <row r="226" spans="2:22" s="82" customFormat="1">
      <c r="S226" s="95"/>
      <c r="T226" s="95"/>
      <c r="U226" s="95"/>
      <c r="V226" s="95"/>
    </row>
    <row r="227" spans="2:22" s="82" customFormat="1">
      <c r="B227" s="93"/>
      <c r="P227" s="94"/>
      <c r="S227" s="95"/>
      <c r="T227" s="95"/>
      <c r="U227" s="95"/>
      <c r="V227" s="95"/>
    </row>
    <row r="228" spans="2:22" s="82" customFormat="1">
      <c r="S228" s="95"/>
      <c r="T228" s="95"/>
      <c r="U228" s="95"/>
      <c r="V228" s="95"/>
    </row>
    <row r="229" spans="2:22" s="82" customFormat="1">
      <c r="S229" s="95"/>
      <c r="T229" s="95"/>
      <c r="U229" s="95"/>
      <c r="V229" s="95"/>
    </row>
    <row r="230" spans="2:22" s="82" customFormat="1">
      <c r="B230" s="93"/>
      <c r="P230" s="94"/>
      <c r="S230" s="95"/>
      <c r="T230" s="95"/>
      <c r="U230" s="95"/>
      <c r="V230" s="95"/>
    </row>
    <row r="231" spans="2:22" s="82" customFormat="1">
      <c r="S231" s="95"/>
      <c r="T231" s="95"/>
      <c r="U231" s="95"/>
      <c r="V231" s="95"/>
    </row>
    <row r="232" spans="2:22" s="82" customFormat="1">
      <c r="S232" s="95"/>
      <c r="T232" s="95"/>
      <c r="U232" s="95"/>
      <c r="V232" s="95"/>
    </row>
    <row r="233" spans="2:22" s="82" customFormat="1">
      <c r="B233" s="93"/>
      <c r="P233" s="94"/>
      <c r="S233" s="95"/>
      <c r="T233" s="95"/>
      <c r="U233" s="95"/>
      <c r="V233" s="95"/>
    </row>
    <row r="234" spans="2:22" s="82" customFormat="1">
      <c r="S234" s="95"/>
      <c r="T234" s="95"/>
      <c r="U234" s="95"/>
      <c r="V234" s="95"/>
    </row>
    <row r="235" spans="2:22" s="82" customFormat="1">
      <c r="S235" s="95"/>
      <c r="T235" s="95"/>
      <c r="U235" s="95"/>
      <c r="V235" s="95"/>
    </row>
    <row r="236" spans="2:22" s="82" customFormat="1">
      <c r="B236" s="93"/>
      <c r="P236" s="94"/>
      <c r="S236" s="95"/>
      <c r="T236" s="95"/>
      <c r="U236" s="95"/>
      <c r="V236" s="95"/>
    </row>
    <row r="237" spans="2:22" s="82" customFormat="1">
      <c r="S237" s="95"/>
      <c r="T237" s="95"/>
      <c r="U237" s="95"/>
      <c r="V237" s="95"/>
    </row>
    <row r="238" spans="2:22" s="82" customFormat="1">
      <c r="S238" s="95"/>
      <c r="T238" s="95"/>
      <c r="U238" s="95"/>
      <c r="V238" s="95"/>
    </row>
    <row r="239" spans="2:22" s="82" customFormat="1">
      <c r="B239" s="93"/>
      <c r="P239" s="94"/>
      <c r="S239" s="95"/>
      <c r="T239" s="95"/>
      <c r="U239" s="95"/>
      <c r="V239" s="95"/>
    </row>
    <row r="240" spans="2:22" s="82" customFormat="1">
      <c r="S240" s="95"/>
      <c r="T240" s="95"/>
      <c r="U240" s="95"/>
      <c r="V240" s="95"/>
    </row>
    <row r="241" spans="2:22" s="82" customFormat="1">
      <c r="S241" s="95"/>
      <c r="T241" s="95"/>
      <c r="U241" s="95"/>
      <c r="V241" s="95"/>
    </row>
    <row r="242" spans="2:22" s="82" customFormat="1">
      <c r="B242" s="93"/>
      <c r="P242" s="94"/>
      <c r="S242" s="95"/>
      <c r="T242" s="95"/>
      <c r="U242" s="95"/>
      <c r="V242" s="95"/>
    </row>
    <row r="243" spans="2:22" s="82" customFormat="1">
      <c r="S243" s="95"/>
      <c r="T243" s="95"/>
      <c r="U243" s="95"/>
      <c r="V243" s="95"/>
    </row>
    <row r="244" spans="2:22" s="82" customFormat="1">
      <c r="S244" s="95"/>
      <c r="T244" s="95"/>
      <c r="U244" s="95"/>
      <c r="V244" s="95"/>
    </row>
    <row r="245" spans="2:22" s="82" customFormat="1">
      <c r="B245" s="93"/>
      <c r="P245" s="94"/>
      <c r="S245" s="95"/>
      <c r="T245" s="95"/>
      <c r="U245" s="95"/>
      <c r="V245" s="95"/>
    </row>
    <row r="246" spans="2:22" s="82" customFormat="1">
      <c r="S246" s="95"/>
      <c r="T246" s="95"/>
      <c r="U246" s="95"/>
      <c r="V246" s="95"/>
    </row>
    <row r="247" spans="2:22" s="82" customFormat="1">
      <c r="S247" s="95"/>
      <c r="T247" s="95"/>
      <c r="U247" s="95"/>
      <c r="V247" s="95"/>
    </row>
    <row r="248" spans="2:22" s="82" customFormat="1">
      <c r="B248" s="93"/>
      <c r="P248" s="94"/>
      <c r="S248" s="95"/>
      <c r="T248" s="95"/>
      <c r="U248" s="95"/>
      <c r="V248" s="95"/>
    </row>
    <row r="249" spans="2:22" s="82" customFormat="1">
      <c r="S249" s="95"/>
      <c r="T249" s="95"/>
      <c r="U249" s="95"/>
      <c r="V249" s="95"/>
    </row>
    <row r="250" spans="2:22" s="82" customFormat="1">
      <c r="S250" s="95"/>
      <c r="T250" s="95"/>
      <c r="U250" s="95"/>
      <c r="V250" s="95"/>
    </row>
    <row r="251" spans="2:22" s="82" customFormat="1">
      <c r="B251" s="93"/>
      <c r="P251" s="94"/>
      <c r="S251" s="95"/>
      <c r="T251" s="95"/>
      <c r="U251" s="95"/>
      <c r="V251" s="95"/>
    </row>
    <row r="252" spans="2:22" s="82" customFormat="1">
      <c r="S252" s="95"/>
      <c r="T252" s="95"/>
      <c r="U252" s="95"/>
      <c r="V252" s="95"/>
    </row>
    <row r="253" spans="2:22" s="82" customFormat="1">
      <c r="S253" s="95"/>
      <c r="T253" s="95"/>
      <c r="U253" s="95"/>
      <c r="V253" s="95"/>
    </row>
    <row r="254" spans="2:22" s="82" customFormat="1">
      <c r="B254" s="93"/>
      <c r="P254" s="94"/>
      <c r="S254" s="95"/>
      <c r="T254" s="95"/>
      <c r="U254" s="95"/>
      <c r="V254" s="95"/>
    </row>
    <row r="255" spans="2:22" s="82" customFormat="1">
      <c r="S255" s="95"/>
      <c r="T255" s="95"/>
      <c r="U255" s="95"/>
      <c r="V255" s="95"/>
    </row>
    <row r="256" spans="2:22" s="82" customFormat="1">
      <c r="S256" s="95"/>
      <c r="T256" s="95"/>
      <c r="U256" s="95"/>
      <c r="V256" s="95"/>
    </row>
    <row r="257" spans="2:22" s="82" customFormat="1">
      <c r="B257" s="93"/>
      <c r="P257" s="94"/>
      <c r="S257" s="95"/>
      <c r="T257" s="95"/>
      <c r="U257" s="95"/>
      <c r="V257" s="95"/>
    </row>
    <row r="258" spans="2:22" s="82" customFormat="1">
      <c r="S258" s="95"/>
      <c r="T258" s="95"/>
      <c r="U258" s="95"/>
      <c r="V258" s="95"/>
    </row>
    <row r="259" spans="2:22" s="82" customFormat="1">
      <c r="S259" s="95"/>
      <c r="T259" s="95"/>
      <c r="U259" s="95"/>
      <c r="V259" s="95"/>
    </row>
    <row r="260" spans="2:22" s="82" customFormat="1">
      <c r="B260" s="93"/>
      <c r="P260" s="94"/>
      <c r="S260" s="95"/>
      <c r="T260" s="95"/>
      <c r="U260" s="95"/>
      <c r="V260" s="95"/>
    </row>
    <row r="261" spans="2:22" s="82" customFormat="1">
      <c r="S261" s="95"/>
      <c r="T261" s="95"/>
      <c r="U261" s="95"/>
      <c r="V261" s="95"/>
    </row>
    <row r="262" spans="2:22" s="82" customFormat="1">
      <c r="S262" s="95"/>
      <c r="T262" s="95"/>
      <c r="U262" s="95"/>
      <c r="V262" s="95"/>
    </row>
    <row r="263" spans="2:22" s="82" customFormat="1">
      <c r="B263" s="93"/>
      <c r="P263" s="94"/>
      <c r="S263" s="95"/>
      <c r="T263" s="95"/>
      <c r="U263" s="95"/>
      <c r="V263" s="95"/>
    </row>
    <row r="264" spans="2:22" s="82" customFormat="1">
      <c r="S264" s="95"/>
      <c r="T264" s="95"/>
      <c r="U264" s="95"/>
      <c r="V264" s="95"/>
    </row>
    <row r="265" spans="2:22" s="82" customFormat="1">
      <c r="S265" s="95"/>
      <c r="T265" s="95"/>
      <c r="U265" s="95"/>
      <c r="V265" s="95"/>
    </row>
    <row r="266" spans="2:22" s="82" customFormat="1">
      <c r="B266" s="93"/>
      <c r="P266" s="94"/>
      <c r="S266" s="95"/>
      <c r="T266" s="95"/>
      <c r="U266" s="95"/>
      <c r="V266" s="95"/>
    </row>
    <row r="267" spans="2:22" s="82" customFormat="1">
      <c r="S267" s="95"/>
      <c r="T267" s="95"/>
      <c r="U267" s="95"/>
      <c r="V267" s="95"/>
    </row>
    <row r="268" spans="2:22" s="82" customFormat="1">
      <c r="S268" s="95"/>
      <c r="T268" s="95"/>
      <c r="U268" s="95"/>
      <c r="V268" s="95"/>
    </row>
    <row r="269" spans="2:22" s="82" customFormat="1">
      <c r="B269" s="93"/>
      <c r="P269" s="94"/>
      <c r="S269" s="95"/>
      <c r="T269" s="95"/>
      <c r="U269" s="95"/>
      <c r="V269" s="95"/>
    </row>
    <row r="270" spans="2:22" s="82" customFormat="1">
      <c r="S270" s="95"/>
      <c r="T270" s="95"/>
      <c r="U270" s="95"/>
      <c r="V270" s="95"/>
    </row>
    <row r="271" spans="2:22" s="82" customFormat="1">
      <c r="S271" s="95"/>
      <c r="T271" s="95"/>
      <c r="U271" s="95"/>
      <c r="V271" s="95"/>
    </row>
    <row r="272" spans="2:22" s="82" customFormat="1">
      <c r="B272" s="93"/>
      <c r="P272" s="94"/>
      <c r="S272" s="95"/>
      <c r="T272" s="95"/>
      <c r="U272" s="95"/>
      <c r="V272" s="95"/>
    </row>
    <row r="273" spans="2:22" s="82" customFormat="1">
      <c r="S273" s="95"/>
      <c r="T273" s="95"/>
      <c r="U273" s="95"/>
      <c r="V273" s="95"/>
    </row>
    <row r="274" spans="2:22" s="82" customFormat="1">
      <c r="S274" s="95"/>
      <c r="T274" s="95"/>
      <c r="U274" s="95"/>
      <c r="V274" s="95"/>
    </row>
    <row r="275" spans="2:22" s="82" customFormat="1">
      <c r="B275" s="93"/>
      <c r="P275" s="94"/>
      <c r="S275" s="95"/>
      <c r="T275" s="95"/>
      <c r="U275" s="95"/>
      <c r="V275" s="95"/>
    </row>
    <row r="276" spans="2:22" s="82" customFormat="1">
      <c r="S276" s="95"/>
      <c r="T276" s="95"/>
      <c r="U276" s="95"/>
      <c r="V276" s="95"/>
    </row>
    <row r="277" spans="2:22" s="82" customFormat="1">
      <c r="S277" s="95"/>
      <c r="T277" s="95"/>
      <c r="U277" s="95"/>
      <c r="V277" s="95"/>
    </row>
    <row r="278" spans="2:22" s="82" customFormat="1">
      <c r="B278" s="93"/>
      <c r="P278" s="94"/>
      <c r="S278" s="96"/>
      <c r="T278" s="95"/>
      <c r="U278" s="95"/>
      <c r="V278" s="95"/>
    </row>
    <row r="279" spans="2:22" s="82" customFormat="1">
      <c r="S279" s="95"/>
      <c r="T279" s="95"/>
      <c r="U279" s="95"/>
      <c r="V279" s="95"/>
    </row>
    <row r="280" spans="2:22" s="82" customFormat="1">
      <c r="S280" s="95"/>
      <c r="T280" s="95"/>
      <c r="U280" s="95"/>
      <c r="V280" s="95"/>
    </row>
    <row r="281" spans="2:22" s="82" customFormat="1">
      <c r="B281" s="93"/>
      <c r="P281" s="94"/>
      <c r="S281" s="95"/>
      <c r="T281" s="95"/>
      <c r="U281" s="95"/>
      <c r="V281" s="95"/>
    </row>
    <row r="282" spans="2:22" s="82" customFormat="1">
      <c r="S282" s="95"/>
      <c r="T282" s="95"/>
      <c r="U282" s="95"/>
      <c r="V282" s="95"/>
    </row>
    <row r="283" spans="2:22" s="82" customFormat="1">
      <c r="S283" s="95"/>
      <c r="T283" s="95"/>
      <c r="U283" s="95"/>
      <c r="V283" s="95"/>
    </row>
    <row r="284" spans="2:22" s="82" customFormat="1">
      <c r="B284" s="93"/>
      <c r="P284" s="94"/>
      <c r="S284" s="95"/>
      <c r="T284" s="95"/>
      <c r="U284" s="95"/>
      <c r="V284" s="95"/>
    </row>
    <row r="285" spans="2:22" s="82" customFormat="1">
      <c r="S285" s="95"/>
      <c r="T285" s="95"/>
      <c r="U285" s="95"/>
      <c r="V285" s="95"/>
    </row>
    <row r="286" spans="2:22" s="82" customFormat="1">
      <c r="S286" s="95"/>
      <c r="T286" s="95"/>
      <c r="U286" s="95"/>
      <c r="V286" s="95"/>
    </row>
    <row r="287" spans="2:22" s="82" customFormat="1">
      <c r="B287" s="93"/>
      <c r="P287" s="94"/>
      <c r="S287" s="95"/>
      <c r="T287" s="95"/>
      <c r="U287" s="95"/>
      <c r="V287" s="95"/>
    </row>
    <row r="288" spans="2:22" s="82" customFormat="1">
      <c r="S288" s="95"/>
      <c r="T288" s="95"/>
      <c r="U288" s="95"/>
      <c r="V288" s="95"/>
    </row>
    <row r="289" spans="2:22" s="82" customFormat="1">
      <c r="S289" s="95"/>
      <c r="T289" s="95"/>
      <c r="U289" s="95"/>
      <c r="V289" s="95"/>
    </row>
    <row r="290" spans="2:22" s="82" customFormat="1">
      <c r="B290" s="93"/>
      <c r="P290" s="94"/>
      <c r="S290" s="95"/>
      <c r="T290" s="95"/>
      <c r="U290" s="95"/>
      <c r="V290" s="95"/>
    </row>
    <row r="291" spans="2:22" s="82" customFormat="1">
      <c r="S291" s="95"/>
      <c r="T291" s="95"/>
      <c r="U291" s="95"/>
      <c r="V291" s="95"/>
    </row>
    <row r="292" spans="2:22" s="82" customFormat="1">
      <c r="S292" s="95"/>
      <c r="T292" s="95"/>
      <c r="U292" s="95"/>
      <c r="V292" s="95"/>
    </row>
    <row r="293" spans="2:22" s="82" customFormat="1">
      <c r="B293" s="93"/>
      <c r="P293" s="94"/>
      <c r="S293" s="95"/>
      <c r="T293" s="95"/>
      <c r="U293" s="95"/>
      <c r="V293" s="95"/>
    </row>
    <row r="294" spans="2:22" s="82" customFormat="1">
      <c r="S294" s="95"/>
      <c r="T294" s="95"/>
      <c r="U294" s="95"/>
      <c r="V294" s="95"/>
    </row>
    <row r="295" spans="2:22" s="82" customFormat="1">
      <c r="S295" s="95"/>
      <c r="T295" s="95"/>
      <c r="U295" s="95"/>
      <c r="V295" s="95"/>
    </row>
    <row r="296" spans="2:22" s="82" customFormat="1">
      <c r="B296" s="93"/>
      <c r="P296" s="94"/>
      <c r="S296" s="96"/>
      <c r="T296" s="95"/>
      <c r="U296" s="95"/>
      <c r="V296" s="95"/>
    </row>
    <row r="297" spans="2:22" s="82" customFormat="1">
      <c r="S297" s="95"/>
      <c r="T297" s="95"/>
      <c r="U297" s="95"/>
      <c r="V297" s="95"/>
    </row>
    <row r="298" spans="2:22" s="82" customFormat="1">
      <c r="S298" s="95"/>
      <c r="T298" s="95"/>
      <c r="U298" s="95"/>
      <c r="V298" s="95"/>
    </row>
    <row r="299" spans="2:22" s="82" customFormat="1">
      <c r="B299" s="93"/>
      <c r="P299" s="94"/>
      <c r="S299" s="95"/>
      <c r="T299" s="95"/>
      <c r="U299" s="95"/>
      <c r="V299" s="95"/>
    </row>
    <row r="300" spans="2:22" s="82" customFormat="1">
      <c r="S300" s="95"/>
      <c r="T300" s="95"/>
      <c r="U300" s="95"/>
      <c r="V300" s="95"/>
    </row>
    <row r="301" spans="2:22" s="82" customFormat="1">
      <c r="S301" s="95"/>
      <c r="T301" s="95"/>
      <c r="U301" s="95"/>
      <c r="V301" s="95"/>
    </row>
    <row r="302" spans="2:22" s="82" customFormat="1">
      <c r="B302" s="93"/>
      <c r="P302" s="94"/>
      <c r="S302" s="95"/>
      <c r="T302" s="95"/>
      <c r="U302" s="95"/>
      <c r="V302" s="95"/>
    </row>
    <row r="303" spans="2:22" s="82" customFormat="1">
      <c r="S303" s="95"/>
      <c r="T303" s="95"/>
      <c r="U303" s="95"/>
      <c r="V303" s="95"/>
    </row>
    <row r="304" spans="2:22" s="82" customFormat="1">
      <c r="S304" s="95"/>
      <c r="T304" s="95"/>
      <c r="U304" s="95"/>
      <c r="V304" s="95"/>
    </row>
    <row r="305" spans="2:22" s="82" customFormat="1">
      <c r="B305" s="93"/>
      <c r="P305" s="94"/>
      <c r="S305" s="95"/>
      <c r="T305" s="95"/>
      <c r="U305" s="95"/>
      <c r="V305" s="95"/>
    </row>
    <row r="306" spans="2:22" s="82" customFormat="1">
      <c r="S306" s="95"/>
      <c r="T306" s="95"/>
      <c r="U306" s="95"/>
      <c r="V306" s="95"/>
    </row>
    <row r="307" spans="2:22" s="82" customFormat="1">
      <c r="S307" s="95"/>
      <c r="T307" s="95"/>
      <c r="U307" s="95"/>
      <c r="V307" s="95"/>
    </row>
    <row r="308" spans="2:22" s="82" customFormat="1">
      <c r="B308" s="93"/>
      <c r="P308" s="94"/>
      <c r="S308" s="95"/>
      <c r="T308" s="95"/>
      <c r="U308" s="95"/>
      <c r="V308" s="95"/>
    </row>
    <row r="309" spans="2:22" s="82" customFormat="1">
      <c r="S309" s="95"/>
      <c r="T309" s="95"/>
      <c r="U309" s="95"/>
      <c r="V309" s="95"/>
    </row>
    <row r="310" spans="2:22" s="82" customFormat="1">
      <c r="S310" s="95"/>
      <c r="T310" s="95"/>
      <c r="U310" s="95"/>
      <c r="V310" s="95"/>
    </row>
    <row r="311" spans="2:22" s="82" customFormat="1">
      <c r="B311" s="93"/>
      <c r="P311" s="94"/>
      <c r="S311" s="95"/>
      <c r="T311" s="95"/>
      <c r="U311" s="95"/>
      <c r="V311" s="95"/>
    </row>
    <row r="312" spans="2:22" s="82" customFormat="1">
      <c r="S312" s="95"/>
      <c r="T312" s="95"/>
      <c r="U312" s="95"/>
      <c r="V312" s="95"/>
    </row>
    <row r="313" spans="2:22" s="82" customFormat="1">
      <c r="S313" s="95"/>
      <c r="T313" s="95"/>
      <c r="U313" s="95"/>
      <c r="V313" s="95"/>
    </row>
    <row r="314" spans="2:22" s="82" customFormat="1">
      <c r="B314" s="93"/>
      <c r="P314" s="94"/>
      <c r="S314" s="95"/>
      <c r="T314" s="95"/>
      <c r="U314" s="95"/>
      <c r="V314" s="95"/>
    </row>
    <row r="315" spans="2:22" s="82" customFormat="1">
      <c r="S315" s="95"/>
      <c r="T315" s="95"/>
      <c r="U315" s="95"/>
      <c r="V315" s="95"/>
    </row>
    <row r="316" spans="2:22" s="82" customFormat="1">
      <c r="S316" s="95"/>
      <c r="T316" s="95"/>
      <c r="U316" s="95"/>
      <c r="V316" s="95"/>
    </row>
    <row r="317" spans="2:22" s="82" customFormat="1">
      <c r="B317" s="93"/>
      <c r="P317" s="94"/>
      <c r="S317" s="95"/>
      <c r="T317" s="95"/>
      <c r="U317" s="95"/>
      <c r="V317" s="95"/>
    </row>
    <row r="318" spans="2:22" s="82" customFormat="1">
      <c r="S318" s="95"/>
      <c r="T318" s="95"/>
      <c r="U318" s="95"/>
      <c r="V318" s="95"/>
    </row>
    <row r="319" spans="2:22" s="82" customFormat="1">
      <c r="S319" s="95"/>
      <c r="T319" s="95"/>
      <c r="U319" s="95"/>
      <c r="V319" s="95"/>
    </row>
    <row r="320" spans="2:22" s="82" customFormat="1">
      <c r="B320" s="93"/>
      <c r="P320" s="94"/>
      <c r="S320" s="95"/>
      <c r="T320" s="95"/>
      <c r="U320" s="95"/>
      <c r="V320" s="95"/>
    </row>
    <row r="321" spans="2:22" s="82" customFormat="1">
      <c r="S321" s="95"/>
      <c r="T321" s="95"/>
      <c r="U321" s="95"/>
      <c r="V321" s="95"/>
    </row>
    <row r="322" spans="2:22" s="82" customFormat="1">
      <c r="S322" s="95"/>
      <c r="T322" s="95"/>
      <c r="U322" s="95"/>
      <c r="V322" s="95"/>
    </row>
    <row r="323" spans="2:22" s="82" customFormat="1">
      <c r="B323" s="93"/>
      <c r="P323" s="94"/>
      <c r="S323" s="95"/>
      <c r="T323" s="95"/>
      <c r="U323" s="95"/>
      <c r="V323" s="95"/>
    </row>
    <row r="324" spans="2:22" s="82" customFormat="1">
      <c r="S324" s="95"/>
      <c r="T324" s="95"/>
      <c r="U324" s="95"/>
      <c r="V324" s="95"/>
    </row>
    <row r="325" spans="2:22" s="82" customFormat="1">
      <c r="S325" s="95"/>
      <c r="T325" s="95"/>
      <c r="U325" s="95"/>
      <c r="V325" s="95"/>
    </row>
    <row r="326" spans="2:22" s="82" customFormat="1">
      <c r="B326" s="93"/>
      <c r="P326" s="94"/>
      <c r="S326" s="95"/>
      <c r="T326" s="95"/>
      <c r="U326" s="95"/>
      <c r="V326" s="95"/>
    </row>
    <row r="327" spans="2:22" s="82" customFormat="1">
      <c r="S327" s="95"/>
      <c r="T327" s="95"/>
      <c r="U327" s="95"/>
      <c r="V327" s="95"/>
    </row>
    <row r="328" spans="2:22" s="82" customFormat="1">
      <c r="S328" s="95"/>
      <c r="T328" s="95"/>
      <c r="U328" s="95"/>
      <c r="V328" s="95"/>
    </row>
    <row r="329" spans="2:22" s="82" customFormat="1">
      <c r="B329" s="93"/>
      <c r="P329" s="94"/>
      <c r="S329" s="95"/>
      <c r="T329" s="95"/>
      <c r="U329" s="95"/>
      <c r="V329" s="95"/>
    </row>
    <row r="330" spans="2:22" s="82" customFormat="1">
      <c r="S330" s="95"/>
      <c r="T330" s="95"/>
      <c r="U330" s="95"/>
      <c r="V330" s="95"/>
    </row>
    <row r="331" spans="2:22" s="82" customFormat="1">
      <c r="S331" s="95"/>
      <c r="T331" s="95"/>
      <c r="U331" s="95"/>
      <c r="V331" s="95"/>
    </row>
    <row r="332" spans="2:22" s="82" customFormat="1">
      <c r="B332" s="93"/>
      <c r="P332" s="94"/>
      <c r="S332" s="95"/>
      <c r="T332" s="95"/>
      <c r="U332" s="95"/>
      <c r="V332" s="95"/>
    </row>
    <row r="333" spans="2:22" s="82" customFormat="1">
      <c r="S333" s="95"/>
      <c r="T333" s="95"/>
      <c r="U333" s="95"/>
      <c r="V333" s="95"/>
    </row>
    <row r="334" spans="2:22" s="82" customFormat="1">
      <c r="S334" s="95"/>
      <c r="T334" s="95"/>
      <c r="U334" s="95"/>
      <c r="V334" s="95"/>
    </row>
    <row r="335" spans="2:22" s="82" customFormat="1">
      <c r="B335" s="93"/>
      <c r="P335" s="94"/>
      <c r="S335" s="95"/>
      <c r="T335" s="95"/>
      <c r="U335" s="95"/>
      <c r="V335" s="95"/>
    </row>
    <row r="336" spans="2:22" s="82" customFormat="1">
      <c r="S336" s="95"/>
      <c r="T336" s="95"/>
      <c r="U336" s="95"/>
      <c r="V336" s="95"/>
    </row>
    <row r="337" spans="2:22" s="82" customFormat="1">
      <c r="S337" s="95"/>
      <c r="T337" s="95"/>
      <c r="U337" s="95"/>
      <c r="V337" s="95"/>
    </row>
    <row r="338" spans="2:22" s="82" customFormat="1">
      <c r="B338" s="93"/>
      <c r="P338" s="94"/>
      <c r="S338" s="95"/>
      <c r="T338" s="95"/>
      <c r="U338" s="95"/>
      <c r="V338" s="95"/>
    </row>
    <row r="339" spans="2:22" s="82" customFormat="1">
      <c r="S339" s="95"/>
      <c r="T339" s="95"/>
      <c r="U339" s="95"/>
      <c r="V339" s="95"/>
    </row>
    <row r="340" spans="2:22" s="82" customFormat="1">
      <c r="S340" s="95"/>
      <c r="T340" s="95"/>
      <c r="U340" s="95"/>
      <c r="V340" s="95"/>
    </row>
    <row r="341" spans="2:22" s="82" customFormat="1">
      <c r="B341" s="93"/>
      <c r="P341" s="94"/>
      <c r="S341" s="95"/>
      <c r="T341" s="95"/>
      <c r="U341" s="95"/>
      <c r="V341" s="95"/>
    </row>
    <row r="342" spans="2:22" s="82" customFormat="1">
      <c r="S342" s="95"/>
      <c r="T342" s="95"/>
      <c r="U342" s="95"/>
      <c r="V342" s="95"/>
    </row>
    <row r="343" spans="2:22" s="82" customFormat="1">
      <c r="S343" s="95"/>
      <c r="T343" s="95"/>
      <c r="U343" s="95"/>
      <c r="V343" s="95"/>
    </row>
    <row r="344" spans="2:22" s="82" customFormat="1">
      <c r="B344" s="93"/>
      <c r="P344" s="94"/>
      <c r="S344" s="95"/>
      <c r="T344" s="95"/>
      <c r="U344" s="95"/>
      <c r="V344" s="95"/>
    </row>
    <row r="345" spans="2:22" s="82" customFormat="1">
      <c r="S345" s="95"/>
      <c r="T345" s="95"/>
      <c r="U345" s="95"/>
      <c r="V345" s="95"/>
    </row>
    <row r="346" spans="2:22" s="82" customFormat="1">
      <c r="S346" s="95"/>
      <c r="T346" s="95"/>
      <c r="U346" s="95"/>
      <c r="V346" s="95"/>
    </row>
    <row r="347" spans="2:22" s="82" customFormat="1">
      <c r="B347" s="93"/>
      <c r="P347" s="94"/>
      <c r="S347" s="95"/>
      <c r="T347" s="95"/>
      <c r="U347" s="95"/>
      <c r="V347" s="95"/>
    </row>
    <row r="348" spans="2:22" s="82" customFormat="1">
      <c r="S348" s="95"/>
      <c r="T348" s="95"/>
      <c r="U348" s="95"/>
      <c r="V348" s="95"/>
    </row>
    <row r="349" spans="2:22" s="82" customFormat="1">
      <c r="S349" s="95"/>
      <c r="T349" s="95"/>
      <c r="U349" s="95"/>
      <c r="V349" s="95"/>
    </row>
    <row r="350" spans="2:22" s="82" customFormat="1">
      <c r="B350" s="93"/>
      <c r="P350" s="94"/>
      <c r="S350" s="95"/>
      <c r="T350" s="95"/>
      <c r="U350" s="95"/>
      <c r="V350" s="95"/>
    </row>
    <row r="351" spans="2:22" s="82" customFormat="1">
      <c r="S351" s="95"/>
      <c r="T351" s="95"/>
      <c r="U351" s="95"/>
      <c r="V351" s="95"/>
    </row>
    <row r="352" spans="2:22" s="82" customFormat="1">
      <c r="S352" s="95"/>
      <c r="T352" s="95"/>
      <c r="U352" s="95"/>
      <c r="V352" s="95"/>
    </row>
    <row r="353" spans="2:22" s="82" customFormat="1">
      <c r="B353" s="93"/>
      <c r="P353" s="94"/>
      <c r="S353" s="95"/>
      <c r="T353" s="95"/>
      <c r="U353" s="95"/>
      <c r="V353" s="95"/>
    </row>
    <row r="354" spans="2:22" s="82" customFormat="1">
      <c r="S354" s="95"/>
      <c r="T354" s="95"/>
      <c r="U354" s="95"/>
      <c r="V354" s="95"/>
    </row>
    <row r="355" spans="2:22" s="82" customFormat="1">
      <c r="S355" s="95"/>
      <c r="T355" s="95"/>
      <c r="U355" s="95"/>
      <c r="V355" s="95"/>
    </row>
    <row r="356" spans="2:22" s="82" customFormat="1">
      <c r="B356" s="93"/>
      <c r="P356" s="94"/>
      <c r="S356" s="95"/>
      <c r="T356" s="95"/>
      <c r="U356" s="95"/>
      <c r="V356" s="95"/>
    </row>
    <row r="357" spans="2:22" s="82" customFormat="1">
      <c r="S357" s="95"/>
      <c r="T357" s="95"/>
      <c r="U357" s="95"/>
      <c r="V357" s="95"/>
    </row>
    <row r="358" spans="2:22" s="82" customFormat="1">
      <c r="S358" s="95"/>
      <c r="T358" s="95"/>
      <c r="U358" s="95"/>
      <c r="V358" s="95"/>
    </row>
    <row r="359" spans="2:22" s="82" customFormat="1">
      <c r="B359" s="93"/>
      <c r="P359" s="94"/>
      <c r="S359" s="95"/>
      <c r="T359" s="95"/>
      <c r="U359" s="95"/>
      <c r="V359" s="95"/>
    </row>
    <row r="360" spans="2:22" s="82" customFormat="1">
      <c r="S360" s="95"/>
      <c r="T360" s="95"/>
      <c r="U360" s="95"/>
      <c r="V360" s="95"/>
    </row>
    <row r="361" spans="2:22" s="82" customFormat="1">
      <c r="S361" s="95"/>
      <c r="T361" s="95"/>
      <c r="U361" s="95"/>
      <c r="V361" s="95"/>
    </row>
    <row r="362" spans="2:22" s="82" customFormat="1">
      <c r="B362" s="93"/>
      <c r="P362" s="94"/>
      <c r="S362" s="95"/>
      <c r="T362" s="95"/>
      <c r="U362" s="95"/>
      <c r="V362" s="95"/>
    </row>
    <row r="363" spans="2:22" s="82" customFormat="1">
      <c r="S363" s="95"/>
      <c r="T363" s="95"/>
      <c r="U363" s="95"/>
      <c r="V363" s="95"/>
    </row>
    <row r="364" spans="2:22" s="82" customFormat="1">
      <c r="S364" s="95"/>
      <c r="T364" s="95"/>
      <c r="U364" s="95"/>
      <c r="V364" s="95"/>
    </row>
    <row r="365" spans="2:22" s="82" customFormat="1">
      <c r="B365" s="93"/>
      <c r="P365" s="94"/>
      <c r="S365" s="95"/>
      <c r="T365" s="95"/>
      <c r="U365" s="95"/>
      <c r="V365" s="95"/>
    </row>
    <row r="366" spans="2:22" s="82" customFormat="1">
      <c r="S366" s="95"/>
      <c r="T366" s="95"/>
      <c r="U366" s="95"/>
      <c r="V366" s="95"/>
    </row>
    <row r="367" spans="2:22" s="82" customFormat="1">
      <c r="S367" s="95"/>
      <c r="T367" s="95"/>
      <c r="U367" s="95"/>
      <c r="V367" s="95"/>
    </row>
    <row r="368" spans="2:22" s="82" customFormat="1">
      <c r="B368" s="93"/>
      <c r="P368" s="94"/>
      <c r="S368" s="95"/>
      <c r="T368" s="95"/>
      <c r="U368" s="95"/>
      <c r="V368" s="95"/>
    </row>
    <row r="369" spans="2:22" s="82" customFormat="1">
      <c r="S369" s="95"/>
      <c r="T369" s="95"/>
      <c r="U369" s="95"/>
      <c r="V369" s="95"/>
    </row>
    <row r="370" spans="2:22" s="82" customFormat="1">
      <c r="S370" s="95"/>
      <c r="T370" s="95"/>
      <c r="U370" s="95"/>
      <c r="V370" s="95"/>
    </row>
    <row r="371" spans="2:22" s="82" customFormat="1">
      <c r="B371" s="93"/>
      <c r="P371" s="94"/>
      <c r="S371" s="95"/>
      <c r="T371" s="95"/>
      <c r="U371" s="95"/>
      <c r="V371" s="95"/>
    </row>
    <row r="372" spans="2:22" s="82" customFormat="1">
      <c r="S372" s="95"/>
      <c r="T372" s="95"/>
      <c r="U372" s="95"/>
      <c r="V372" s="95"/>
    </row>
    <row r="373" spans="2:22" s="82" customFormat="1">
      <c r="S373" s="95"/>
      <c r="T373" s="95"/>
      <c r="U373" s="95"/>
      <c r="V373" s="95"/>
    </row>
    <row r="374" spans="2:22" s="82" customFormat="1">
      <c r="B374" s="93"/>
      <c r="P374" s="94"/>
      <c r="S374" s="95"/>
      <c r="T374" s="95"/>
      <c r="U374" s="95"/>
      <c r="V374" s="95"/>
    </row>
    <row r="375" spans="2:22" s="82" customFormat="1">
      <c r="S375" s="95"/>
      <c r="T375" s="95"/>
      <c r="U375" s="95"/>
      <c r="V375" s="95"/>
    </row>
    <row r="376" spans="2:22" s="82" customFormat="1">
      <c r="S376" s="95"/>
      <c r="T376" s="95"/>
      <c r="U376" s="95"/>
      <c r="V376" s="95"/>
    </row>
    <row r="377" spans="2:22" s="82" customFormat="1">
      <c r="B377" s="93"/>
      <c r="P377" s="94"/>
      <c r="S377" s="95"/>
      <c r="T377" s="95"/>
      <c r="U377" s="95"/>
      <c r="V377" s="95"/>
    </row>
    <row r="378" spans="2:22" s="82" customFormat="1">
      <c r="S378" s="95"/>
      <c r="T378" s="95"/>
      <c r="U378" s="95"/>
      <c r="V378" s="95"/>
    </row>
    <row r="379" spans="2:22" s="82" customFormat="1">
      <c r="S379" s="95"/>
      <c r="T379" s="95"/>
      <c r="U379" s="95"/>
      <c r="V379" s="95"/>
    </row>
    <row r="380" spans="2:22" s="82" customFormat="1">
      <c r="B380" s="93"/>
      <c r="P380" s="94"/>
      <c r="S380" s="95"/>
      <c r="T380" s="95"/>
      <c r="U380" s="95"/>
      <c r="V380" s="95"/>
    </row>
    <row r="381" spans="2:22" s="82" customFormat="1">
      <c r="S381" s="95"/>
      <c r="T381" s="95"/>
      <c r="U381" s="95"/>
      <c r="V381" s="95"/>
    </row>
    <row r="382" spans="2:22" s="82" customFormat="1">
      <c r="S382" s="95"/>
      <c r="T382" s="95"/>
      <c r="U382" s="95"/>
      <c r="V382" s="95"/>
    </row>
    <row r="383" spans="2:22" s="82" customFormat="1">
      <c r="B383" s="93"/>
      <c r="P383" s="94"/>
      <c r="S383" s="95"/>
      <c r="T383" s="95"/>
      <c r="U383" s="95"/>
      <c r="V383" s="95"/>
    </row>
    <row r="384" spans="2:22" s="82" customFormat="1">
      <c r="S384" s="95"/>
      <c r="T384" s="95"/>
      <c r="U384" s="95"/>
      <c r="V384" s="95"/>
    </row>
    <row r="385" spans="2:22" s="82" customFormat="1">
      <c r="S385" s="95"/>
      <c r="T385" s="95"/>
      <c r="U385" s="95"/>
      <c r="V385" s="95"/>
    </row>
    <row r="386" spans="2:22" s="82" customFormat="1">
      <c r="B386" s="93"/>
      <c r="P386" s="94"/>
      <c r="S386" s="95"/>
      <c r="T386" s="95"/>
      <c r="U386" s="95"/>
      <c r="V386" s="95"/>
    </row>
    <row r="387" spans="2:22" s="82" customFormat="1">
      <c r="S387" s="95"/>
      <c r="T387" s="95"/>
      <c r="U387" s="95"/>
      <c r="V387" s="95"/>
    </row>
    <row r="388" spans="2:22" s="82" customFormat="1">
      <c r="S388" s="95"/>
      <c r="T388" s="95"/>
      <c r="U388" s="95"/>
      <c r="V388" s="95"/>
    </row>
    <row r="389" spans="2:22" s="82" customFormat="1">
      <c r="B389" s="93"/>
      <c r="P389" s="94"/>
      <c r="S389" s="95"/>
      <c r="T389" s="95"/>
      <c r="U389" s="95"/>
      <c r="V389" s="95"/>
    </row>
    <row r="390" spans="2:22" s="82" customFormat="1">
      <c r="S390" s="95"/>
      <c r="T390" s="95"/>
      <c r="U390" s="95"/>
      <c r="V390" s="95"/>
    </row>
    <row r="391" spans="2:22" s="82" customFormat="1">
      <c r="S391" s="95"/>
      <c r="T391" s="95"/>
      <c r="U391" s="95"/>
      <c r="V391" s="95"/>
    </row>
    <row r="392" spans="2:22" s="82" customFormat="1">
      <c r="B392" s="93"/>
      <c r="P392" s="94"/>
      <c r="S392" s="95"/>
      <c r="T392" s="95"/>
      <c r="U392" s="95"/>
      <c r="V392" s="95"/>
    </row>
    <row r="393" spans="2:22" s="82" customFormat="1">
      <c r="S393" s="95"/>
      <c r="T393" s="95"/>
      <c r="U393" s="95"/>
      <c r="V393" s="95"/>
    </row>
    <row r="394" spans="2:22" s="82" customFormat="1">
      <c r="S394" s="95"/>
      <c r="T394" s="95"/>
      <c r="U394" s="95"/>
      <c r="V394" s="95"/>
    </row>
    <row r="395" spans="2:22" s="82" customFormat="1">
      <c r="B395" s="93"/>
      <c r="P395" s="94"/>
      <c r="S395" s="95"/>
      <c r="T395" s="95"/>
      <c r="U395" s="95"/>
      <c r="V395" s="95"/>
    </row>
    <row r="396" spans="2:22" s="82" customFormat="1">
      <c r="S396" s="95"/>
      <c r="T396" s="95"/>
      <c r="U396" s="95"/>
      <c r="V396" s="95"/>
    </row>
    <row r="397" spans="2:22" s="82" customFormat="1">
      <c r="S397" s="95"/>
      <c r="T397" s="95"/>
      <c r="U397" s="95"/>
      <c r="V397" s="95"/>
    </row>
    <row r="398" spans="2:22" s="82" customFormat="1">
      <c r="B398" s="93"/>
      <c r="P398" s="94"/>
      <c r="S398" s="95"/>
      <c r="T398" s="95"/>
      <c r="U398" s="95"/>
      <c r="V398" s="95"/>
    </row>
    <row r="399" spans="2:22" s="82" customFormat="1">
      <c r="S399" s="95"/>
      <c r="T399" s="95"/>
      <c r="U399" s="95"/>
      <c r="V399" s="95"/>
    </row>
    <row r="400" spans="2:22" s="82" customFormat="1">
      <c r="S400" s="95"/>
      <c r="T400" s="95"/>
      <c r="U400" s="95"/>
      <c r="V400" s="95"/>
    </row>
    <row r="401" spans="2:22" s="82" customFormat="1">
      <c r="B401" s="93"/>
      <c r="P401" s="94"/>
      <c r="S401" s="95"/>
      <c r="T401" s="95"/>
      <c r="U401" s="95"/>
      <c r="V401" s="95"/>
    </row>
    <row r="402" spans="2:22" s="82" customFormat="1">
      <c r="S402" s="95"/>
      <c r="T402" s="95"/>
      <c r="U402" s="95"/>
      <c r="V402" s="95"/>
    </row>
    <row r="403" spans="2:22" s="82" customFormat="1">
      <c r="S403" s="95"/>
      <c r="T403" s="95"/>
      <c r="U403" s="95"/>
      <c r="V403" s="95"/>
    </row>
    <row r="404" spans="2:22" s="82" customFormat="1">
      <c r="B404" s="93"/>
      <c r="P404" s="94"/>
      <c r="S404" s="95"/>
      <c r="T404" s="95"/>
      <c r="U404" s="95"/>
      <c r="V404" s="95"/>
    </row>
    <row r="405" spans="2:22" s="82" customFormat="1">
      <c r="S405" s="95"/>
      <c r="T405" s="95"/>
      <c r="U405" s="95"/>
      <c r="V405" s="95"/>
    </row>
    <row r="406" spans="2:22" s="82" customFormat="1">
      <c r="S406" s="95"/>
      <c r="T406" s="95"/>
      <c r="U406" s="95"/>
      <c r="V406" s="95"/>
    </row>
    <row r="407" spans="2:22" s="82" customFormat="1">
      <c r="B407" s="93"/>
      <c r="P407" s="94"/>
      <c r="S407" s="95"/>
      <c r="T407" s="95"/>
      <c r="U407" s="95"/>
      <c r="V407" s="95"/>
    </row>
    <row r="408" spans="2:22" s="82" customFormat="1">
      <c r="S408" s="95"/>
      <c r="T408" s="95"/>
      <c r="U408" s="95"/>
      <c r="V408" s="95"/>
    </row>
    <row r="409" spans="2:22" s="82" customFormat="1">
      <c r="S409" s="95"/>
      <c r="T409" s="95"/>
      <c r="U409" s="95"/>
      <c r="V409" s="95"/>
    </row>
    <row r="410" spans="2:22" s="82" customFormat="1">
      <c r="B410" s="93"/>
      <c r="P410" s="94"/>
      <c r="S410" s="95"/>
      <c r="T410" s="95"/>
      <c r="U410" s="95"/>
      <c r="V410" s="95"/>
    </row>
    <row r="411" spans="2:22" s="82" customFormat="1">
      <c r="S411" s="95"/>
      <c r="T411" s="95"/>
      <c r="U411" s="95"/>
      <c r="V411" s="95"/>
    </row>
    <row r="412" spans="2:22" s="82" customFormat="1">
      <c r="S412" s="95"/>
      <c r="T412" s="95"/>
      <c r="U412" s="95"/>
      <c r="V412" s="95"/>
    </row>
    <row r="413" spans="2:22" s="82" customFormat="1">
      <c r="B413" s="93"/>
      <c r="P413" s="94"/>
      <c r="S413" s="95"/>
      <c r="T413" s="95"/>
      <c r="U413" s="95"/>
      <c r="V413" s="95"/>
    </row>
    <row r="414" spans="2:22" s="82" customFormat="1">
      <c r="S414" s="95"/>
      <c r="T414" s="95"/>
      <c r="U414" s="95"/>
      <c r="V414" s="95"/>
    </row>
    <row r="415" spans="2:22" s="82" customFormat="1">
      <c r="S415" s="95"/>
      <c r="T415" s="95"/>
      <c r="U415" s="95"/>
      <c r="V415" s="95"/>
    </row>
    <row r="416" spans="2:22" s="82" customFormat="1">
      <c r="B416" s="93"/>
      <c r="P416" s="94"/>
      <c r="S416" s="95"/>
      <c r="T416" s="95"/>
      <c r="U416" s="95"/>
      <c r="V416" s="95"/>
    </row>
    <row r="417" spans="2:22" s="82" customFormat="1">
      <c r="S417" s="95"/>
      <c r="T417" s="95"/>
      <c r="U417" s="95"/>
      <c r="V417" s="95"/>
    </row>
    <row r="418" spans="2:22" s="82" customFormat="1">
      <c r="S418" s="95"/>
      <c r="T418" s="95"/>
      <c r="U418" s="95"/>
      <c r="V418" s="95"/>
    </row>
    <row r="419" spans="2:22" s="82" customFormat="1">
      <c r="B419" s="93"/>
      <c r="P419" s="94"/>
      <c r="S419" s="95"/>
      <c r="T419" s="95"/>
      <c r="U419" s="95"/>
      <c r="V419" s="95"/>
    </row>
    <row r="420" spans="2:22" s="82" customFormat="1">
      <c r="S420" s="95"/>
      <c r="T420" s="95"/>
      <c r="U420" s="95"/>
      <c r="V420" s="95"/>
    </row>
    <row r="421" spans="2:22" s="82" customFormat="1">
      <c r="S421" s="95"/>
      <c r="T421" s="95"/>
      <c r="U421" s="95"/>
      <c r="V421" s="95"/>
    </row>
    <row r="422" spans="2:22" s="82" customFormat="1">
      <c r="B422" s="93"/>
      <c r="P422" s="94"/>
      <c r="S422" s="95"/>
      <c r="T422" s="95"/>
      <c r="U422" s="95"/>
      <c r="V422" s="95"/>
    </row>
    <row r="423" spans="2:22" s="82" customFormat="1">
      <c r="S423" s="95"/>
      <c r="T423" s="95"/>
      <c r="U423" s="95"/>
      <c r="V423" s="95"/>
    </row>
    <row r="424" spans="2:22" s="82" customFormat="1">
      <c r="S424" s="95"/>
      <c r="T424" s="95"/>
      <c r="U424" s="95"/>
      <c r="V424" s="95"/>
    </row>
    <row r="425" spans="2:22" s="82" customFormat="1">
      <c r="B425" s="93"/>
      <c r="P425" s="94"/>
      <c r="S425" s="95"/>
      <c r="T425" s="95"/>
      <c r="U425" s="95"/>
      <c r="V425" s="95"/>
    </row>
    <row r="426" spans="2:22" s="82" customFormat="1">
      <c r="S426" s="95"/>
      <c r="T426" s="95"/>
      <c r="U426" s="95"/>
      <c r="V426" s="95"/>
    </row>
    <row r="427" spans="2:22" s="82" customFormat="1">
      <c r="S427" s="95"/>
      <c r="T427" s="95"/>
      <c r="U427" s="95"/>
      <c r="V427" s="95"/>
    </row>
    <row r="428" spans="2:22" s="82" customFormat="1">
      <c r="B428" s="93"/>
      <c r="P428" s="94"/>
      <c r="S428" s="95"/>
      <c r="T428" s="95"/>
      <c r="U428" s="95"/>
      <c r="V428" s="95"/>
    </row>
    <row r="429" spans="2:22" s="82" customFormat="1">
      <c r="S429" s="95"/>
      <c r="T429" s="95"/>
      <c r="U429" s="95"/>
      <c r="V429" s="95"/>
    </row>
    <row r="430" spans="2:22" s="82" customFormat="1">
      <c r="S430" s="95"/>
      <c r="T430" s="95"/>
      <c r="U430" s="95"/>
      <c r="V430" s="95"/>
    </row>
    <row r="431" spans="2:22" s="82" customFormat="1">
      <c r="B431" s="93"/>
      <c r="P431" s="94"/>
      <c r="S431" s="95"/>
      <c r="T431" s="95"/>
      <c r="U431" s="95"/>
      <c r="V431" s="95"/>
    </row>
    <row r="432" spans="2:22" s="82" customFormat="1">
      <c r="S432" s="95"/>
      <c r="T432" s="95"/>
      <c r="U432" s="95"/>
      <c r="V432" s="95"/>
    </row>
    <row r="433" spans="2:22" s="82" customFormat="1">
      <c r="S433" s="95"/>
      <c r="T433" s="95"/>
      <c r="U433" s="95"/>
      <c r="V433" s="95"/>
    </row>
    <row r="434" spans="2:22" s="82" customFormat="1">
      <c r="B434" s="93"/>
      <c r="P434" s="94"/>
      <c r="S434" s="95"/>
      <c r="T434" s="95"/>
      <c r="U434" s="95"/>
      <c r="V434" s="95"/>
    </row>
    <row r="435" spans="2:22" s="82" customFormat="1">
      <c r="S435" s="95"/>
      <c r="T435" s="95"/>
      <c r="U435" s="95"/>
      <c r="V435" s="95"/>
    </row>
    <row r="436" spans="2:22" s="82" customFormat="1">
      <c r="S436" s="95"/>
      <c r="T436" s="95"/>
      <c r="U436" s="95"/>
      <c r="V436" s="95"/>
    </row>
    <row r="437" spans="2:22" s="82" customFormat="1">
      <c r="B437" s="93"/>
      <c r="P437" s="94"/>
      <c r="S437" s="95"/>
      <c r="T437" s="95"/>
      <c r="U437" s="95"/>
      <c r="V437" s="95"/>
    </row>
    <row r="438" spans="2:22" s="82" customFormat="1">
      <c r="S438" s="95"/>
      <c r="T438" s="95"/>
      <c r="U438" s="95"/>
      <c r="V438" s="95"/>
    </row>
    <row r="439" spans="2:22" s="82" customFormat="1">
      <c r="S439" s="95"/>
      <c r="T439" s="95"/>
      <c r="U439" s="95"/>
      <c r="V439" s="95"/>
    </row>
    <row r="440" spans="2:22" s="82" customFormat="1">
      <c r="B440" s="93"/>
      <c r="P440" s="94"/>
      <c r="S440" s="95"/>
      <c r="T440" s="95"/>
      <c r="U440" s="95"/>
      <c r="V440" s="95"/>
    </row>
    <row r="441" spans="2:22" s="82" customFormat="1">
      <c r="S441" s="95"/>
      <c r="T441" s="95"/>
      <c r="U441" s="95"/>
      <c r="V441" s="95"/>
    </row>
    <row r="442" spans="2:22" s="82" customFormat="1">
      <c r="S442" s="95"/>
      <c r="T442" s="95"/>
      <c r="U442" s="95"/>
      <c r="V442" s="95"/>
    </row>
    <row r="443" spans="2:22" s="82" customFormat="1">
      <c r="B443" s="93"/>
      <c r="P443" s="94"/>
      <c r="S443" s="95"/>
      <c r="T443" s="95"/>
      <c r="U443" s="95"/>
      <c r="V443" s="95"/>
    </row>
    <row r="444" spans="2:22" s="82" customFormat="1">
      <c r="S444" s="95"/>
      <c r="T444" s="95"/>
      <c r="U444" s="95"/>
      <c r="V444" s="95"/>
    </row>
    <row r="445" spans="2:22" s="82" customFormat="1">
      <c r="S445" s="95"/>
      <c r="T445" s="95"/>
      <c r="U445" s="95"/>
      <c r="V445" s="95"/>
    </row>
    <row r="446" spans="2:22" s="82" customFormat="1">
      <c r="B446" s="93"/>
      <c r="P446" s="94"/>
      <c r="S446" s="95"/>
      <c r="T446" s="95"/>
      <c r="U446" s="95"/>
      <c r="V446" s="95"/>
    </row>
    <row r="447" spans="2:22" s="82" customFormat="1">
      <c r="S447" s="95"/>
      <c r="T447" s="95"/>
      <c r="U447" s="95"/>
      <c r="V447" s="95"/>
    </row>
    <row r="448" spans="2:22" s="82" customFormat="1">
      <c r="S448" s="95"/>
      <c r="T448" s="95"/>
      <c r="U448" s="95"/>
      <c r="V448" s="95"/>
    </row>
    <row r="449" spans="2:22" s="82" customFormat="1">
      <c r="B449" s="93"/>
      <c r="P449" s="94"/>
      <c r="S449" s="95"/>
      <c r="T449" s="95"/>
      <c r="U449" s="95"/>
      <c r="V449" s="95"/>
    </row>
    <row r="450" spans="2:22" s="82" customFormat="1">
      <c r="S450" s="95"/>
      <c r="T450" s="95"/>
      <c r="U450" s="95"/>
      <c r="V450" s="95"/>
    </row>
    <row r="451" spans="2:22" s="82" customFormat="1">
      <c r="S451" s="95"/>
      <c r="T451" s="95"/>
      <c r="U451" s="95"/>
      <c r="V451" s="95"/>
    </row>
    <row r="452" spans="2:22" s="82" customFormat="1">
      <c r="B452" s="93"/>
      <c r="P452" s="94"/>
      <c r="S452" s="95"/>
      <c r="T452" s="95"/>
      <c r="U452" s="95"/>
      <c r="V452" s="95"/>
    </row>
    <row r="453" spans="2:22" s="82" customFormat="1">
      <c r="S453" s="95"/>
      <c r="T453" s="95"/>
      <c r="U453" s="95"/>
      <c r="V453" s="95"/>
    </row>
    <row r="454" spans="2:22" s="82" customFormat="1">
      <c r="S454" s="95"/>
      <c r="T454" s="95"/>
      <c r="U454" s="95"/>
      <c r="V454" s="95"/>
    </row>
    <row r="455" spans="2:22" s="82" customFormat="1">
      <c r="B455" s="93"/>
      <c r="P455" s="94"/>
      <c r="S455" s="95"/>
      <c r="T455" s="95"/>
      <c r="U455" s="95"/>
      <c r="V455" s="95"/>
    </row>
    <row r="456" spans="2:22" s="82" customFormat="1">
      <c r="S456" s="95"/>
      <c r="T456" s="95"/>
      <c r="U456" s="95"/>
      <c r="V456" s="95"/>
    </row>
    <row r="457" spans="2:22" s="82" customFormat="1">
      <c r="S457" s="95"/>
      <c r="T457" s="95"/>
      <c r="U457" s="95"/>
      <c r="V457" s="95"/>
    </row>
    <row r="458" spans="2:22" s="82" customFormat="1">
      <c r="B458" s="93"/>
      <c r="P458" s="94"/>
      <c r="S458" s="95"/>
      <c r="T458" s="95"/>
      <c r="U458" s="95"/>
      <c r="V458" s="95"/>
    </row>
    <row r="459" spans="2:22" s="82" customFormat="1">
      <c r="S459" s="95"/>
      <c r="T459" s="95"/>
      <c r="U459" s="95"/>
      <c r="V459" s="95"/>
    </row>
    <row r="460" spans="2:22" s="82" customFormat="1">
      <c r="S460" s="95"/>
      <c r="T460" s="95"/>
      <c r="U460" s="95"/>
      <c r="V460" s="95"/>
    </row>
    <row r="461" spans="2:22" s="82" customFormat="1">
      <c r="B461" s="93"/>
      <c r="P461" s="94"/>
      <c r="S461" s="95"/>
      <c r="T461" s="95"/>
      <c r="U461" s="95"/>
      <c r="V461" s="95"/>
    </row>
    <row r="462" spans="2:22" s="82" customFormat="1">
      <c r="S462" s="95"/>
      <c r="T462" s="95"/>
      <c r="U462" s="95"/>
      <c r="V462" s="95"/>
    </row>
    <row r="463" spans="2:22" s="82" customFormat="1">
      <c r="S463" s="95"/>
      <c r="T463" s="95"/>
      <c r="U463" s="95"/>
      <c r="V463" s="95"/>
    </row>
    <row r="464" spans="2:22" s="82" customFormat="1">
      <c r="B464" s="93"/>
      <c r="P464" s="94"/>
      <c r="S464" s="95"/>
      <c r="T464" s="95"/>
      <c r="U464" s="95"/>
      <c r="V464" s="95"/>
    </row>
    <row r="465" spans="2:22" s="82" customFormat="1">
      <c r="S465" s="95"/>
      <c r="T465" s="95"/>
      <c r="U465" s="95"/>
      <c r="V465" s="95"/>
    </row>
    <row r="466" spans="2:22" s="82" customFormat="1">
      <c r="S466" s="95"/>
      <c r="T466" s="95"/>
      <c r="U466" s="95"/>
      <c r="V466" s="95"/>
    </row>
    <row r="467" spans="2:22" s="82" customFormat="1">
      <c r="B467" s="93"/>
      <c r="P467" s="94"/>
      <c r="S467" s="95"/>
      <c r="T467" s="95"/>
      <c r="U467" s="95"/>
      <c r="V467" s="95"/>
    </row>
    <row r="468" spans="2:22" s="82" customFormat="1">
      <c r="S468" s="95"/>
      <c r="T468" s="95"/>
      <c r="U468" s="95"/>
      <c r="V468" s="95"/>
    </row>
    <row r="469" spans="2:22" s="82" customFormat="1">
      <c r="S469" s="95"/>
      <c r="T469" s="95"/>
      <c r="U469" s="95"/>
      <c r="V469" s="95"/>
    </row>
    <row r="470" spans="2:22" s="82" customFormat="1">
      <c r="B470" s="93"/>
      <c r="P470" s="94"/>
      <c r="S470" s="95"/>
      <c r="T470" s="95"/>
      <c r="U470" s="95"/>
      <c r="V470" s="95"/>
    </row>
    <row r="471" spans="2:22" s="82" customFormat="1">
      <c r="S471" s="95"/>
      <c r="T471" s="95"/>
      <c r="U471" s="95"/>
      <c r="V471" s="95"/>
    </row>
    <row r="472" spans="2:22" s="82" customFormat="1">
      <c r="S472" s="95"/>
      <c r="T472" s="95"/>
      <c r="U472" s="95"/>
      <c r="V472" s="95"/>
    </row>
    <row r="473" spans="2:22" s="82" customFormat="1">
      <c r="B473" s="93"/>
      <c r="P473" s="94"/>
      <c r="S473" s="95"/>
      <c r="T473" s="95"/>
      <c r="U473" s="95"/>
      <c r="V473" s="95"/>
    </row>
    <row r="474" spans="2:22" s="82" customFormat="1">
      <c r="S474" s="95"/>
      <c r="T474" s="95"/>
      <c r="U474" s="95"/>
      <c r="V474" s="95"/>
    </row>
    <row r="475" spans="2:22" s="82" customFormat="1">
      <c r="S475" s="95"/>
      <c r="T475" s="95"/>
      <c r="U475" s="95"/>
      <c r="V475" s="95"/>
    </row>
    <row r="476" spans="2:22" s="82" customFormat="1">
      <c r="B476" s="93"/>
      <c r="P476" s="94"/>
      <c r="S476" s="95"/>
      <c r="T476" s="95"/>
      <c r="U476" s="95"/>
      <c r="V476" s="95"/>
    </row>
    <row r="477" spans="2:22" s="82" customFormat="1">
      <c r="S477" s="95"/>
      <c r="T477" s="95"/>
      <c r="U477" s="95"/>
      <c r="V477" s="95"/>
    </row>
    <row r="478" spans="2:22" s="82" customFormat="1">
      <c r="S478" s="95"/>
      <c r="T478" s="95"/>
      <c r="U478" s="95"/>
      <c r="V478" s="95"/>
    </row>
    <row r="479" spans="2:22" s="82" customFormat="1">
      <c r="B479" s="93"/>
      <c r="P479" s="94"/>
      <c r="S479" s="95"/>
      <c r="T479" s="95"/>
      <c r="U479" s="95"/>
      <c r="V479" s="95"/>
    </row>
    <row r="480" spans="2:22" s="82" customFormat="1">
      <c r="S480" s="95"/>
      <c r="T480" s="95"/>
      <c r="U480" s="95"/>
      <c r="V480" s="95"/>
    </row>
    <row r="481" spans="2:22" s="82" customFormat="1">
      <c r="S481" s="95"/>
      <c r="T481" s="95"/>
      <c r="U481" s="95"/>
      <c r="V481" s="95"/>
    </row>
    <row r="482" spans="2:22" s="82" customFormat="1">
      <c r="B482" s="93"/>
      <c r="P482" s="94"/>
      <c r="S482" s="95"/>
      <c r="T482" s="95"/>
      <c r="U482" s="95"/>
      <c r="V482" s="95"/>
    </row>
    <row r="483" spans="2:22" s="82" customFormat="1">
      <c r="S483" s="95"/>
      <c r="T483" s="95"/>
      <c r="U483" s="95"/>
      <c r="V483" s="95"/>
    </row>
    <row r="484" spans="2:22" s="82" customFormat="1">
      <c r="S484" s="95"/>
      <c r="T484" s="95"/>
      <c r="U484" s="95"/>
      <c r="V484" s="95"/>
    </row>
    <row r="485" spans="2:22" s="82" customFormat="1">
      <c r="B485" s="93"/>
      <c r="P485" s="94"/>
      <c r="S485" s="95"/>
      <c r="T485" s="95"/>
      <c r="U485" s="95"/>
      <c r="V485" s="95"/>
    </row>
    <row r="486" spans="2:22" s="82" customFormat="1">
      <c r="S486" s="95"/>
      <c r="T486" s="95"/>
      <c r="U486" s="95"/>
      <c r="V486" s="95"/>
    </row>
    <row r="487" spans="2:22" s="82" customFormat="1">
      <c r="S487" s="95"/>
      <c r="T487" s="95"/>
      <c r="U487" s="95"/>
      <c r="V487" s="95"/>
    </row>
    <row r="488" spans="2:22" s="82" customFormat="1">
      <c r="B488" s="93"/>
      <c r="P488" s="94"/>
      <c r="S488" s="95"/>
      <c r="T488" s="95"/>
      <c r="U488" s="95"/>
      <c r="V488" s="95"/>
    </row>
    <row r="489" spans="2:22" s="82" customFormat="1">
      <c r="S489" s="95"/>
      <c r="T489" s="95"/>
      <c r="U489" s="95"/>
      <c r="V489" s="95"/>
    </row>
    <row r="490" spans="2:22" s="82" customFormat="1">
      <c r="S490" s="95"/>
      <c r="T490" s="95"/>
      <c r="U490" s="95"/>
      <c r="V490" s="95"/>
    </row>
    <row r="491" spans="2:22" s="82" customFormat="1">
      <c r="B491" s="93"/>
      <c r="P491" s="94"/>
      <c r="S491" s="95"/>
      <c r="T491" s="95"/>
      <c r="U491" s="95"/>
      <c r="V491" s="95"/>
    </row>
    <row r="492" spans="2:22" s="82" customFormat="1">
      <c r="S492" s="95"/>
      <c r="T492" s="95"/>
      <c r="U492" s="95"/>
      <c r="V492" s="95"/>
    </row>
    <row r="493" spans="2:22" s="82" customFormat="1">
      <c r="S493" s="95"/>
      <c r="T493" s="95"/>
      <c r="U493" s="95"/>
      <c r="V493" s="95"/>
    </row>
    <row r="494" spans="2:22" s="82" customFormat="1">
      <c r="B494" s="93"/>
      <c r="P494" s="94"/>
      <c r="S494" s="95"/>
      <c r="T494" s="95"/>
      <c r="U494" s="95"/>
      <c r="V494" s="95"/>
    </row>
    <row r="495" spans="2:22" s="82" customFormat="1">
      <c r="S495" s="95"/>
      <c r="T495" s="95"/>
      <c r="U495" s="95"/>
      <c r="V495" s="95"/>
    </row>
    <row r="496" spans="2:22" s="82" customFormat="1">
      <c r="S496" s="95"/>
      <c r="T496" s="95"/>
      <c r="U496" s="95"/>
      <c r="V496" s="95"/>
    </row>
    <row r="497" spans="2:22" s="82" customFormat="1">
      <c r="B497" s="93"/>
      <c r="P497" s="94"/>
      <c r="S497" s="95"/>
      <c r="T497" s="95"/>
      <c r="U497" s="95"/>
      <c r="V497" s="95"/>
    </row>
    <row r="498" spans="2:22" s="82" customFormat="1">
      <c r="S498" s="95"/>
      <c r="T498" s="95"/>
      <c r="U498" s="95"/>
      <c r="V498" s="95"/>
    </row>
    <row r="499" spans="2:22" s="82" customFormat="1">
      <c r="S499" s="95"/>
      <c r="T499" s="95"/>
      <c r="U499" s="95"/>
      <c r="V499" s="95"/>
    </row>
    <row r="500" spans="2:22" s="82" customFormat="1">
      <c r="B500" s="93"/>
      <c r="P500" s="94"/>
      <c r="S500" s="95"/>
      <c r="T500" s="95"/>
      <c r="U500" s="95"/>
      <c r="V500" s="95"/>
    </row>
    <row r="501" spans="2:22" s="82" customFormat="1">
      <c r="S501" s="95"/>
      <c r="T501" s="95"/>
      <c r="U501" s="95"/>
      <c r="V501" s="95"/>
    </row>
    <row r="502" spans="2:22" s="82" customFormat="1">
      <c r="S502" s="95"/>
      <c r="T502" s="95"/>
      <c r="U502" s="95"/>
      <c r="V502" s="95"/>
    </row>
    <row r="503" spans="2:22" s="82" customFormat="1">
      <c r="B503" s="93"/>
      <c r="P503" s="94"/>
      <c r="S503" s="95"/>
      <c r="T503" s="95"/>
      <c r="U503" s="95"/>
      <c r="V503" s="95"/>
    </row>
    <row r="504" spans="2:22" s="82" customFormat="1">
      <c r="S504" s="95"/>
      <c r="T504" s="95"/>
      <c r="U504" s="95"/>
      <c r="V504" s="95"/>
    </row>
    <row r="505" spans="2:22" s="82" customFormat="1">
      <c r="S505" s="95"/>
      <c r="T505" s="95"/>
      <c r="U505" s="95"/>
      <c r="V505" s="95"/>
    </row>
    <row r="506" spans="2:22" s="82" customFormat="1">
      <c r="B506" s="93"/>
      <c r="P506" s="94"/>
      <c r="S506" s="95"/>
      <c r="T506" s="95"/>
      <c r="U506" s="95"/>
      <c r="V506" s="95"/>
    </row>
    <row r="507" spans="2:22" s="82" customFormat="1">
      <c r="S507" s="95"/>
      <c r="T507" s="95"/>
      <c r="U507" s="95"/>
      <c r="V507" s="95"/>
    </row>
    <row r="508" spans="2:22" s="82" customFormat="1">
      <c r="S508" s="95"/>
      <c r="T508" s="95"/>
      <c r="U508" s="95"/>
      <c r="V508" s="95"/>
    </row>
    <row r="509" spans="2:22" s="82" customFormat="1">
      <c r="B509" s="93"/>
      <c r="P509" s="94"/>
      <c r="S509" s="95"/>
      <c r="T509" s="95"/>
      <c r="U509" s="95"/>
      <c r="V509" s="95"/>
    </row>
    <row r="510" spans="2:22" s="82" customFormat="1">
      <c r="S510" s="95"/>
      <c r="T510" s="95"/>
      <c r="U510" s="95"/>
      <c r="V510" s="95"/>
    </row>
    <row r="511" spans="2:22" s="82" customFormat="1">
      <c r="S511" s="95"/>
      <c r="T511" s="95"/>
      <c r="U511" s="95"/>
      <c r="V511" s="95"/>
    </row>
    <row r="512" spans="2:22" s="82" customFormat="1">
      <c r="B512" s="93"/>
      <c r="P512" s="94"/>
      <c r="S512" s="95"/>
      <c r="T512" s="95"/>
      <c r="U512" s="95"/>
      <c r="V512" s="95"/>
    </row>
    <row r="513" spans="2:22" s="82" customFormat="1">
      <c r="S513" s="95"/>
      <c r="T513" s="95"/>
      <c r="U513" s="95"/>
      <c r="V513" s="95"/>
    </row>
    <row r="514" spans="2:22" s="82" customFormat="1">
      <c r="S514" s="95"/>
      <c r="T514" s="95"/>
      <c r="U514" s="95"/>
      <c r="V514" s="95"/>
    </row>
    <row r="515" spans="2:22" s="82" customFormat="1">
      <c r="B515" s="93"/>
      <c r="P515" s="94"/>
      <c r="S515" s="95"/>
      <c r="T515" s="95"/>
      <c r="U515" s="95"/>
      <c r="V515" s="95"/>
    </row>
    <row r="516" spans="2:22" s="82" customFormat="1">
      <c r="S516" s="95"/>
      <c r="T516" s="95"/>
      <c r="U516" s="95"/>
      <c r="V516" s="95"/>
    </row>
    <row r="517" spans="2:22" s="82" customFormat="1">
      <c r="S517" s="95"/>
      <c r="T517" s="95"/>
      <c r="U517" s="95"/>
      <c r="V517" s="95"/>
    </row>
    <row r="518" spans="2:22" s="82" customFormat="1">
      <c r="B518" s="93"/>
      <c r="P518" s="94"/>
      <c r="S518" s="95"/>
      <c r="T518" s="95"/>
      <c r="U518" s="95"/>
      <c r="V518" s="95"/>
    </row>
    <row r="519" spans="2:22" s="82" customFormat="1">
      <c r="S519" s="95"/>
      <c r="T519" s="95"/>
      <c r="U519" s="95"/>
      <c r="V519" s="95"/>
    </row>
    <row r="520" spans="2:22" s="82" customFormat="1">
      <c r="S520" s="95"/>
      <c r="T520" s="95"/>
      <c r="U520" s="95"/>
      <c r="V520" s="95"/>
    </row>
    <row r="521" spans="2:22" s="82" customFormat="1">
      <c r="B521" s="93"/>
      <c r="P521" s="94"/>
      <c r="S521" s="95"/>
      <c r="T521" s="95"/>
      <c r="U521" s="95"/>
      <c r="V521" s="95"/>
    </row>
    <row r="522" spans="2:22" s="82" customFormat="1">
      <c r="S522" s="95"/>
      <c r="T522" s="95"/>
      <c r="U522" s="95"/>
      <c r="V522" s="95"/>
    </row>
    <row r="523" spans="2:22" s="82" customFormat="1">
      <c r="S523" s="95"/>
      <c r="T523" s="95"/>
      <c r="U523" s="95"/>
      <c r="V523" s="95"/>
    </row>
    <row r="524" spans="2:22" s="82" customFormat="1">
      <c r="B524" s="93"/>
      <c r="P524" s="94"/>
      <c r="S524" s="95"/>
      <c r="T524" s="95"/>
      <c r="U524" s="95"/>
      <c r="V524" s="95"/>
    </row>
    <row r="525" spans="2:22" s="82" customFormat="1">
      <c r="S525" s="95"/>
      <c r="T525" s="95"/>
      <c r="U525" s="95"/>
      <c r="V525" s="95"/>
    </row>
    <row r="526" spans="2:22" s="82" customFormat="1">
      <c r="S526" s="95"/>
      <c r="T526" s="95"/>
      <c r="U526" s="95"/>
      <c r="V526" s="95"/>
    </row>
    <row r="527" spans="2:22" s="82" customFormat="1">
      <c r="B527" s="93"/>
      <c r="P527" s="94"/>
      <c r="S527" s="95"/>
      <c r="T527" s="95"/>
      <c r="U527" s="95"/>
      <c r="V527" s="95"/>
    </row>
    <row r="528" spans="2:22" s="82" customFormat="1">
      <c r="S528" s="95"/>
      <c r="T528" s="95"/>
      <c r="U528" s="95"/>
      <c r="V528" s="95"/>
    </row>
    <row r="529" spans="2:22" s="82" customFormat="1">
      <c r="S529" s="95"/>
      <c r="T529" s="95"/>
      <c r="U529" s="95"/>
      <c r="V529" s="95"/>
    </row>
    <row r="530" spans="2:22" s="82" customFormat="1">
      <c r="B530" s="93"/>
      <c r="P530" s="94"/>
      <c r="S530" s="95"/>
      <c r="T530" s="95"/>
      <c r="U530" s="95"/>
      <c r="V530" s="95"/>
    </row>
    <row r="531" spans="2:22" s="82" customFormat="1">
      <c r="S531" s="95"/>
      <c r="T531" s="95"/>
      <c r="U531" s="95"/>
      <c r="V531" s="95"/>
    </row>
    <row r="532" spans="2:22" s="82" customFormat="1">
      <c r="S532" s="95"/>
      <c r="T532" s="95"/>
      <c r="U532" s="95"/>
      <c r="V532" s="95"/>
    </row>
    <row r="533" spans="2:22" s="82" customFormat="1">
      <c r="B533" s="93"/>
      <c r="P533" s="94"/>
      <c r="S533" s="95"/>
      <c r="T533" s="95"/>
      <c r="U533" s="95"/>
      <c r="V533" s="95"/>
    </row>
    <row r="534" spans="2:22" s="82" customFormat="1">
      <c r="S534" s="95"/>
      <c r="T534" s="95"/>
      <c r="U534" s="95"/>
      <c r="V534" s="95"/>
    </row>
    <row r="535" spans="2:22" s="82" customFormat="1">
      <c r="S535" s="95"/>
      <c r="T535" s="95"/>
      <c r="U535" s="95"/>
      <c r="V535" s="95"/>
    </row>
    <row r="536" spans="2:22" s="82" customFormat="1">
      <c r="B536" s="93"/>
      <c r="P536" s="94"/>
      <c r="S536" s="95"/>
      <c r="T536" s="95"/>
      <c r="U536" s="95"/>
      <c r="V536" s="95"/>
    </row>
    <row r="537" spans="2:22" s="82" customFormat="1">
      <c r="S537" s="95"/>
      <c r="T537" s="95"/>
      <c r="U537" s="95"/>
      <c r="V537" s="95"/>
    </row>
    <row r="538" spans="2:22" s="82" customFormat="1">
      <c r="S538" s="95"/>
      <c r="T538" s="95"/>
      <c r="U538" s="95"/>
      <c r="V538" s="95"/>
    </row>
    <row r="539" spans="2:22" s="82" customFormat="1">
      <c r="B539" s="93"/>
      <c r="P539" s="94"/>
      <c r="S539" s="95"/>
      <c r="T539" s="95"/>
      <c r="U539" s="95"/>
      <c r="V539" s="95"/>
    </row>
    <row r="540" spans="2:22" s="82" customFormat="1">
      <c r="S540" s="95"/>
      <c r="T540" s="95"/>
      <c r="U540" s="95"/>
      <c r="V540" s="95"/>
    </row>
    <row r="541" spans="2:22" s="82" customFormat="1">
      <c r="S541" s="95"/>
      <c r="T541" s="95"/>
      <c r="U541" s="95"/>
      <c r="V541" s="95"/>
    </row>
    <row r="542" spans="2:22" s="82" customFormat="1">
      <c r="B542" s="93"/>
      <c r="P542" s="94"/>
      <c r="S542" s="95"/>
      <c r="T542" s="95"/>
      <c r="U542" s="95"/>
      <c r="V542" s="95"/>
    </row>
    <row r="543" spans="2:22" s="82" customFormat="1">
      <c r="S543" s="95"/>
      <c r="T543" s="95"/>
      <c r="U543" s="95"/>
      <c r="V543" s="95"/>
    </row>
    <row r="544" spans="2:22" s="82" customFormat="1">
      <c r="S544" s="95"/>
      <c r="T544" s="95"/>
      <c r="U544" s="95"/>
      <c r="V544" s="95"/>
    </row>
    <row r="545" spans="2:22" s="82" customFormat="1">
      <c r="B545" s="93"/>
      <c r="P545" s="94"/>
      <c r="S545" s="95"/>
      <c r="T545" s="95"/>
      <c r="U545" s="95"/>
      <c r="V545" s="95"/>
    </row>
    <row r="546" spans="2:22" s="82" customFormat="1">
      <c r="S546" s="95"/>
      <c r="T546" s="95"/>
      <c r="U546" s="95"/>
      <c r="V546" s="95"/>
    </row>
    <row r="547" spans="2:22" s="82" customFormat="1">
      <c r="S547" s="95"/>
      <c r="T547" s="95"/>
      <c r="U547" s="95"/>
      <c r="V547" s="95"/>
    </row>
    <row r="548" spans="2:22" s="82" customFormat="1">
      <c r="B548" s="93"/>
      <c r="P548" s="94"/>
      <c r="S548" s="95"/>
      <c r="T548" s="95"/>
      <c r="U548" s="95"/>
      <c r="V548" s="95"/>
    </row>
    <row r="549" spans="2:22" s="82" customFormat="1">
      <c r="S549" s="95"/>
      <c r="T549" s="95"/>
      <c r="U549" s="95"/>
      <c r="V549" s="95"/>
    </row>
    <row r="550" spans="2:22" s="82" customFormat="1">
      <c r="S550" s="95"/>
      <c r="T550" s="95"/>
      <c r="U550" s="95"/>
      <c r="V550" s="95"/>
    </row>
    <row r="551" spans="2:22" s="82" customFormat="1">
      <c r="B551" s="93"/>
      <c r="P551" s="94"/>
      <c r="S551" s="95"/>
      <c r="T551" s="95"/>
      <c r="U551" s="95"/>
      <c r="V551" s="95"/>
    </row>
    <row r="552" spans="2:22" s="82" customFormat="1">
      <c r="S552" s="95"/>
      <c r="T552" s="95"/>
      <c r="U552" s="95"/>
      <c r="V552" s="95"/>
    </row>
    <row r="553" spans="2:22" s="82" customFormat="1">
      <c r="S553" s="95"/>
      <c r="T553" s="95"/>
      <c r="U553" s="95"/>
      <c r="V553" s="95"/>
    </row>
    <row r="554" spans="2:22" s="82" customFormat="1">
      <c r="B554" s="93"/>
      <c r="P554" s="94"/>
      <c r="S554" s="95"/>
      <c r="T554" s="95"/>
      <c r="U554" s="95"/>
      <c r="V554" s="95"/>
    </row>
    <row r="555" spans="2:22" s="82" customFormat="1">
      <c r="S555" s="95"/>
      <c r="T555" s="95"/>
      <c r="U555" s="95"/>
      <c r="V555" s="95"/>
    </row>
    <row r="556" spans="2:22" s="82" customFormat="1">
      <c r="S556" s="95"/>
      <c r="T556" s="95"/>
      <c r="U556" s="95"/>
      <c r="V556" s="95"/>
    </row>
    <row r="557" spans="2:22" s="82" customFormat="1">
      <c r="B557" s="93"/>
      <c r="P557" s="94"/>
      <c r="S557" s="95"/>
      <c r="T557" s="95"/>
      <c r="U557" s="95"/>
      <c r="V557" s="95"/>
    </row>
    <row r="558" spans="2:22" s="82" customFormat="1">
      <c r="S558" s="95"/>
      <c r="T558" s="95"/>
      <c r="U558" s="95"/>
      <c r="V558" s="95"/>
    </row>
    <row r="559" spans="2:22" s="82" customFormat="1">
      <c r="S559" s="95"/>
      <c r="T559" s="95"/>
      <c r="U559" s="95"/>
      <c r="V559" s="95"/>
    </row>
    <row r="560" spans="2:22" s="82" customFormat="1">
      <c r="B560" s="93"/>
      <c r="P560" s="94"/>
      <c r="S560" s="95"/>
      <c r="T560" s="95"/>
      <c r="U560" s="95"/>
      <c r="V560" s="95"/>
    </row>
    <row r="561" spans="2:22" s="82" customFormat="1">
      <c r="S561" s="95"/>
      <c r="T561" s="95"/>
      <c r="U561" s="95"/>
      <c r="V561" s="95"/>
    </row>
    <row r="562" spans="2:22" s="82" customFormat="1">
      <c r="S562" s="95"/>
      <c r="T562" s="95"/>
      <c r="U562" s="95"/>
      <c r="V562" s="95"/>
    </row>
    <row r="563" spans="2:22" s="82" customFormat="1">
      <c r="B563" s="93"/>
      <c r="P563" s="94"/>
      <c r="S563" s="95"/>
      <c r="T563" s="95"/>
      <c r="U563" s="95"/>
      <c r="V563" s="95"/>
    </row>
    <row r="564" spans="2:22" s="82" customFormat="1">
      <c r="S564" s="95"/>
      <c r="T564" s="95"/>
      <c r="U564" s="95"/>
      <c r="V564" s="95"/>
    </row>
    <row r="565" spans="2:22" s="82" customFormat="1">
      <c r="S565" s="95"/>
      <c r="T565" s="95"/>
      <c r="U565" s="95"/>
      <c r="V565" s="95"/>
    </row>
    <row r="566" spans="2:22" s="82" customFormat="1">
      <c r="B566" s="93"/>
      <c r="P566" s="94"/>
      <c r="S566" s="95"/>
      <c r="T566" s="95"/>
      <c r="U566" s="95"/>
      <c r="V566" s="95"/>
    </row>
    <row r="567" spans="2:22" s="82" customFormat="1">
      <c r="S567" s="95"/>
      <c r="T567" s="95"/>
      <c r="U567" s="95"/>
      <c r="V567" s="95"/>
    </row>
    <row r="568" spans="2:22" s="82" customFormat="1">
      <c r="S568" s="95"/>
      <c r="T568" s="95"/>
      <c r="U568" s="95"/>
      <c r="V568" s="95"/>
    </row>
    <row r="569" spans="2:22" s="82" customFormat="1">
      <c r="B569" s="93"/>
      <c r="P569" s="94"/>
      <c r="S569" s="95"/>
      <c r="T569" s="95"/>
      <c r="U569" s="95"/>
      <c r="V569" s="95"/>
    </row>
    <row r="570" spans="2:22" s="82" customFormat="1">
      <c r="S570" s="95"/>
      <c r="T570" s="95"/>
      <c r="U570" s="95"/>
      <c r="V570" s="95"/>
    </row>
    <row r="571" spans="2:22" s="82" customFormat="1">
      <c r="S571" s="95"/>
      <c r="T571" s="95"/>
      <c r="U571" s="95"/>
      <c r="V571" s="95"/>
    </row>
    <row r="572" spans="2:22" s="82" customFormat="1">
      <c r="B572" s="93"/>
      <c r="P572" s="94"/>
      <c r="S572" s="95"/>
      <c r="T572" s="95"/>
      <c r="U572" s="95"/>
      <c r="V572" s="95"/>
    </row>
    <row r="573" spans="2:22" s="82" customFormat="1">
      <c r="S573" s="95"/>
      <c r="T573" s="95"/>
      <c r="U573" s="95"/>
      <c r="V573" s="95"/>
    </row>
    <row r="574" spans="2:22" s="82" customFormat="1">
      <c r="S574" s="95"/>
      <c r="T574" s="95"/>
      <c r="U574" s="95"/>
      <c r="V574" s="95"/>
    </row>
    <row r="575" spans="2:22" s="82" customFormat="1">
      <c r="B575" s="93"/>
      <c r="P575" s="94"/>
      <c r="S575" s="95"/>
      <c r="T575" s="95"/>
      <c r="U575" s="95"/>
      <c r="V575" s="95"/>
    </row>
    <row r="576" spans="2:22" s="82" customFormat="1">
      <c r="S576" s="95"/>
      <c r="T576" s="95"/>
      <c r="U576" s="95"/>
      <c r="V576" s="95"/>
    </row>
    <row r="577" spans="2:22" s="82" customFormat="1">
      <c r="S577" s="95"/>
      <c r="T577" s="95"/>
      <c r="U577" s="95"/>
      <c r="V577" s="95"/>
    </row>
    <row r="578" spans="2:22" s="82" customFormat="1">
      <c r="B578" s="93"/>
      <c r="P578" s="94"/>
      <c r="S578" s="95"/>
      <c r="T578" s="95"/>
      <c r="U578" s="95"/>
      <c r="V578" s="95"/>
    </row>
    <row r="579" spans="2:22" s="82" customFormat="1">
      <c r="S579" s="95"/>
      <c r="T579" s="95"/>
      <c r="U579" s="95"/>
      <c r="V579" s="95"/>
    </row>
    <row r="580" spans="2:22" s="82" customFormat="1">
      <c r="S580" s="95"/>
      <c r="T580" s="95"/>
      <c r="U580" s="95"/>
      <c r="V580" s="95"/>
    </row>
    <row r="581" spans="2:22" s="82" customFormat="1">
      <c r="B581" s="93"/>
      <c r="P581" s="94"/>
      <c r="S581" s="95"/>
      <c r="T581" s="95"/>
      <c r="U581" s="95"/>
      <c r="V581" s="95"/>
    </row>
    <row r="582" spans="2:22" s="82" customFormat="1">
      <c r="S582" s="95"/>
      <c r="T582" s="95"/>
      <c r="U582" s="95"/>
      <c r="V582" s="95"/>
    </row>
    <row r="583" spans="2:22" s="82" customFormat="1">
      <c r="S583" s="95"/>
      <c r="T583" s="95"/>
      <c r="U583" s="95"/>
      <c r="V583" s="95"/>
    </row>
    <row r="584" spans="2:22" s="82" customFormat="1">
      <c r="B584" s="93"/>
      <c r="P584" s="94"/>
      <c r="S584" s="95"/>
      <c r="T584" s="95"/>
      <c r="U584" s="95"/>
      <c r="V584" s="95"/>
    </row>
    <row r="585" spans="2:22" s="82" customFormat="1">
      <c r="S585" s="95"/>
      <c r="T585" s="95"/>
      <c r="U585" s="95"/>
      <c r="V585" s="95"/>
    </row>
    <row r="586" spans="2:22" s="82" customFormat="1">
      <c r="S586" s="95"/>
      <c r="T586" s="95"/>
      <c r="U586" s="95"/>
      <c r="V586" s="95"/>
    </row>
    <row r="587" spans="2:22" s="82" customFormat="1">
      <c r="B587" s="93"/>
      <c r="P587" s="94"/>
      <c r="S587" s="95"/>
      <c r="T587" s="95"/>
      <c r="U587" s="95"/>
      <c r="V587" s="95"/>
    </row>
    <row r="588" spans="2:22" s="82" customFormat="1">
      <c r="S588" s="95"/>
      <c r="T588" s="95"/>
      <c r="U588" s="95"/>
      <c r="V588" s="95"/>
    </row>
    <row r="589" spans="2:22" s="82" customFormat="1">
      <c r="S589" s="95"/>
      <c r="T589" s="95"/>
      <c r="U589" s="95"/>
      <c r="V589" s="95"/>
    </row>
    <row r="590" spans="2:22" s="82" customFormat="1">
      <c r="B590" s="93"/>
      <c r="P590" s="94"/>
      <c r="S590" s="95"/>
      <c r="T590" s="95"/>
      <c r="U590" s="95"/>
      <c r="V590" s="95"/>
    </row>
    <row r="591" spans="2:22" s="82" customFormat="1">
      <c r="S591" s="95"/>
      <c r="T591" s="95"/>
      <c r="U591" s="95"/>
      <c r="V591" s="95"/>
    </row>
    <row r="592" spans="2:22" s="82" customFormat="1">
      <c r="S592" s="95"/>
      <c r="T592" s="95"/>
      <c r="U592" s="95"/>
      <c r="V592" s="95"/>
    </row>
    <row r="593" spans="2:22" s="82" customFormat="1">
      <c r="B593" s="93"/>
      <c r="P593" s="94"/>
      <c r="S593" s="95"/>
      <c r="T593" s="95"/>
      <c r="U593" s="95"/>
      <c r="V593" s="95"/>
    </row>
    <row r="594" spans="2:22" s="82" customFormat="1">
      <c r="S594" s="95"/>
      <c r="T594" s="95"/>
      <c r="U594" s="95"/>
      <c r="V594" s="95"/>
    </row>
    <row r="595" spans="2:22" s="82" customFormat="1">
      <c r="S595" s="95"/>
      <c r="T595" s="95"/>
      <c r="U595" s="95"/>
      <c r="V595" s="95"/>
    </row>
    <row r="596" spans="2:22" s="82" customFormat="1">
      <c r="B596" s="93"/>
      <c r="P596" s="94"/>
      <c r="S596" s="95"/>
      <c r="T596" s="95"/>
      <c r="U596" s="95"/>
      <c r="V596" s="95"/>
    </row>
    <row r="597" spans="2:22" s="82" customFormat="1">
      <c r="S597" s="95"/>
      <c r="T597" s="95"/>
      <c r="U597" s="95"/>
      <c r="V597" s="95"/>
    </row>
    <row r="598" spans="2:22" s="82" customFormat="1">
      <c r="S598" s="95"/>
      <c r="T598" s="95"/>
      <c r="U598" s="95"/>
      <c r="V598" s="95"/>
    </row>
    <row r="599" spans="2:22" s="82" customFormat="1">
      <c r="B599" s="93"/>
      <c r="P599" s="94"/>
      <c r="S599" s="95"/>
      <c r="T599" s="95"/>
      <c r="U599" s="95"/>
      <c r="V599" s="95"/>
    </row>
    <row r="600" spans="2:22" s="82" customFormat="1">
      <c r="S600" s="95"/>
      <c r="T600" s="95"/>
      <c r="U600" s="95"/>
      <c r="V600" s="95"/>
    </row>
    <row r="601" spans="2:22" s="82" customFormat="1">
      <c r="S601" s="95"/>
      <c r="T601" s="95"/>
      <c r="U601" s="95"/>
      <c r="V601" s="95"/>
    </row>
    <row r="602" spans="2:22" s="82" customFormat="1">
      <c r="B602" s="93"/>
      <c r="P602" s="94"/>
      <c r="S602" s="95"/>
      <c r="T602" s="95"/>
      <c r="U602" s="95"/>
      <c r="V602" s="95"/>
    </row>
    <row r="603" spans="2:22" s="82" customFormat="1">
      <c r="S603" s="95"/>
      <c r="T603" s="95"/>
      <c r="U603" s="95"/>
      <c r="V603" s="95"/>
    </row>
    <row r="604" spans="2:22" s="82" customFormat="1">
      <c r="S604" s="95"/>
      <c r="T604" s="95"/>
      <c r="U604" s="95"/>
      <c r="V604" s="95"/>
    </row>
    <row r="605" spans="2:22" s="82" customFormat="1">
      <c r="B605" s="93"/>
      <c r="P605" s="94"/>
      <c r="S605" s="95"/>
      <c r="T605" s="95"/>
      <c r="U605" s="95"/>
      <c r="V605" s="95"/>
    </row>
    <row r="606" spans="2:22" s="82" customFormat="1">
      <c r="S606" s="95"/>
      <c r="T606" s="95"/>
      <c r="U606" s="95"/>
      <c r="V606" s="95"/>
    </row>
    <row r="607" spans="2:22" s="82" customFormat="1">
      <c r="S607" s="95"/>
      <c r="T607" s="95"/>
      <c r="U607" s="95"/>
      <c r="V607" s="95"/>
    </row>
    <row r="608" spans="2:22" s="82" customFormat="1">
      <c r="B608" s="93"/>
      <c r="P608" s="94"/>
      <c r="S608" s="95"/>
      <c r="T608" s="95"/>
      <c r="U608" s="95"/>
      <c r="V608" s="95"/>
    </row>
    <row r="609" spans="2:22" s="82" customFormat="1">
      <c r="S609" s="95"/>
      <c r="T609" s="95"/>
      <c r="U609" s="95"/>
      <c r="V609" s="95"/>
    </row>
    <row r="610" spans="2:22" s="82" customFormat="1">
      <c r="S610" s="95"/>
      <c r="T610" s="95"/>
      <c r="U610" s="95"/>
      <c r="V610" s="95"/>
    </row>
    <row r="611" spans="2:22" s="82" customFormat="1">
      <c r="B611" s="93"/>
      <c r="P611" s="94"/>
      <c r="S611" s="95"/>
      <c r="T611" s="95"/>
      <c r="U611" s="95"/>
      <c r="V611" s="95"/>
    </row>
    <row r="612" spans="2:22" s="82" customFormat="1">
      <c r="S612" s="95"/>
      <c r="T612" s="95"/>
      <c r="U612" s="95"/>
      <c r="V612" s="95"/>
    </row>
    <row r="613" spans="2:22" s="82" customFormat="1">
      <c r="S613" s="95"/>
      <c r="T613" s="95"/>
      <c r="U613" s="95"/>
      <c r="V613" s="95"/>
    </row>
    <row r="614" spans="2:22" s="82" customFormat="1">
      <c r="B614" s="93"/>
      <c r="P614" s="94"/>
      <c r="S614" s="95"/>
      <c r="T614" s="95"/>
      <c r="U614" s="95"/>
      <c r="V614" s="95"/>
    </row>
    <row r="615" spans="2:22" s="82" customFormat="1">
      <c r="S615" s="95"/>
      <c r="T615" s="95"/>
      <c r="U615" s="95"/>
      <c r="V615" s="95"/>
    </row>
    <row r="616" spans="2:22" s="82" customFormat="1">
      <c r="S616" s="95"/>
      <c r="T616" s="95"/>
      <c r="U616" s="95"/>
      <c r="V616" s="95"/>
    </row>
    <row r="617" spans="2:22" s="82" customFormat="1">
      <c r="B617" s="93"/>
      <c r="P617" s="94"/>
      <c r="S617" s="95"/>
      <c r="T617" s="95"/>
      <c r="U617" s="95"/>
      <c r="V617" s="95"/>
    </row>
    <row r="618" spans="2:22" s="82" customFormat="1"/>
    <row r="619" spans="2:22" s="82" customFormat="1"/>
    <row r="620" spans="2:22" s="82" customFormat="1"/>
    <row r="621" spans="2:22" s="82" customFormat="1"/>
    <row r="622" spans="2:22" s="82" customFormat="1"/>
    <row r="623" spans="2:22" s="82" customFormat="1"/>
    <row r="624" spans="2:22" s="82" customFormat="1"/>
    <row r="625" s="82" customFormat="1"/>
    <row r="626" s="82" customFormat="1"/>
    <row r="627" s="82" customFormat="1"/>
    <row r="628" s="82" customFormat="1"/>
    <row r="629" s="82" customFormat="1"/>
    <row r="630" s="82" customFormat="1"/>
    <row r="631" s="82" customFormat="1"/>
    <row r="632" s="82" customFormat="1"/>
    <row r="633" s="82" customFormat="1"/>
    <row r="634" s="82" customFormat="1"/>
    <row r="635" s="82" customFormat="1"/>
    <row r="636" s="82" customFormat="1"/>
    <row r="637" s="82" customFormat="1"/>
    <row r="638" s="82" customFormat="1"/>
    <row r="639" s="82" customFormat="1"/>
    <row r="640" s="82" customFormat="1"/>
    <row r="641" s="82" customFormat="1"/>
    <row r="642" s="82" customFormat="1"/>
    <row r="643" s="82" customFormat="1"/>
    <row r="644" s="82" customFormat="1"/>
    <row r="645" s="82" customFormat="1"/>
    <row r="646" s="82" customFormat="1"/>
    <row r="647" s="82" customFormat="1"/>
    <row r="648" s="82" customFormat="1"/>
    <row r="649" s="82" customFormat="1"/>
    <row r="650" s="82" customFormat="1"/>
    <row r="651" s="82" customFormat="1"/>
    <row r="652" s="82" customFormat="1"/>
    <row r="653" s="82" customFormat="1"/>
    <row r="654" s="82" customFormat="1"/>
    <row r="655" s="82" customFormat="1"/>
    <row r="656" s="82" customFormat="1"/>
    <row r="657" s="82" customFormat="1"/>
    <row r="658" s="82" customFormat="1"/>
    <row r="659" s="82" customFormat="1"/>
    <row r="660" s="82" customFormat="1"/>
    <row r="661" s="82" customFormat="1"/>
    <row r="662" s="82" customFormat="1"/>
    <row r="663" s="82" customFormat="1"/>
    <row r="664" s="82" customFormat="1"/>
    <row r="665" s="82" customFormat="1"/>
    <row r="666" s="82" customFormat="1"/>
    <row r="667" s="82" customFormat="1"/>
    <row r="668" s="82" customFormat="1"/>
    <row r="669" s="82" customFormat="1"/>
    <row r="670" s="82" customFormat="1"/>
    <row r="671" s="82" customFormat="1"/>
    <row r="672" s="82" customFormat="1"/>
    <row r="673" s="82" customFormat="1"/>
    <row r="674" s="82" customFormat="1"/>
    <row r="675" s="82" customFormat="1"/>
    <row r="676" s="82" customFormat="1"/>
    <row r="677" s="82" customFormat="1"/>
    <row r="678" s="82" customFormat="1"/>
    <row r="679" s="82" customFormat="1"/>
    <row r="680" s="82" customFormat="1"/>
    <row r="681" s="82" customFormat="1"/>
    <row r="682" s="82" customFormat="1"/>
    <row r="683" s="82" customFormat="1"/>
    <row r="684" s="82" customFormat="1"/>
    <row r="685" s="82" customFormat="1"/>
    <row r="686" s="82" customFormat="1"/>
    <row r="687" s="82" customFormat="1"/>
    <row r="688" s="82" customFormat="1"/>
    <row r="689" s="82" customFormat="1"/>
    <row r="690" s="82" customFormat="1"/>
    <row r="691" s="82" customFormat="1"/>
    <row r="692" s="82" customFormat="1"/>
    <row r="693" s="82" customFormat="1"/>
    <row r="694" s="82" customFormat="1"/>
    <row r="695" s="82" customFormat="1"/>
    <row r="696" s="82" customFormat="1"/>
    <row r="697" s="82" customFormat="1"/>
    <row r="698" s="82" customFormat="1"/>
    <row r="699" s="82" customFormat="1"/>
    <row r="700" s="82" customFormat="1"/>
    <row r="701" s="82" customFormat="1"/>
    <row r="702" s="82" customFormat="1"/>
    <row r="703" s="82" customFormat="1"/>
    <row r="704" s="82" customFormat="1"/>
    <row r="705" s="82" customFormat="1"/>
    <row r="706" s="82" customFormat="1"/>
    <row r="707" s="82" customFormat="1"/>
    <row r="708" s="82" customFormat="1"/>
    <row r="709" s="82" customFormat="1"/>
    <row r="710" s="82" customFormat="1"/>
    <row r="711" s="82" customFormat="1"/>
    <row r="712" s="82" customFormat="1"/>
    <row r="713" s="82" customFormat="1"/>
    <row r="714" s="82" customFormat="1"/>
    <row r="715" s="82" customFormat="1"/>
    <row r="716" s="82" customFormat="1"/>
    <row r="717" s="82" customFormat="1"/>
    <row r="718" s="82" customFormat="1"/>
    <row r="719" s="82" customFormat="1"/>
    <row r="720" s="82" customFormat="1"/>
    <row r="721" s="82" customFormat="1"/>
    <row r="722" s="82" customFormat="1"/>
    <row r="723" s="82" customFormat="1"/>
    <row r="724" s="82" customFormat="1"/>
    <row r="725" s="82" customFormat="1"/>
    <row r="726" s="82" customFormat="1"/>
    <row r="727" s="82" customFormat="1"/>
    <row r="728" s="82" customFormat="1"/>
    <row r="729" s="82" customFormat="1"/>
    <row r="730" s="82" customFormat="1"/>
    <row r="731" s="82" customFormat="1"/>
    <row r="732" s="82" customFormat="1"/>
    <row r="733" s="82" customFormat="1"/>
    <row r="734" s="82" customFormat="1"/>
    <row r="735" s="82" customFormat="1"/>
    <row r="736" s="82" customFormat="1"/>
    <row r="737" s="82" customFormat="1"/>
    <row r="738" s="82" customFormat="1"/>
    <row r="739" s="82" customFormat="1"/>
    <row r="740" s="82" customFormat="1"/>
    <row r="741" s="82" customFormat="1"/>
    <row r="742" s="82" customFormat="1"/>
    <row r="743" s="82" customFormat="1"/>
    <row r="744" s="82" customFormat="1"/>
    <row r="745" s="82" customFormat="1"/>
    <row r="746" s="82" customFormat="1"/>
    <row r="747" s="82" customFormat="1"/>
    <row r="748" s="82" customFormat="1"/>
    <row r="749" s="82" customFormat="1"/>
    <row r="750" s="82" customFormat="1"/>
    <row r="751" s="82" customFormat="1"/>
    <row r="752" s="82" customFormat="1"/>
    <row r="753" s="82" customFormat="1"/>
    <row r="754" s="82" customFormat="1"/>
    <row r="755" s="82" customFormat="1"/>
    <row r="756" s="82" customFormat="1"/>
    <row r="757" s="82" customFormat="1"/>
    <row r="758" s="82" customFormat="1"/>
    <row r="759" s="82" customFormat="1"/>
    <row r="760" s="82" customFormat="1"/>
    <row r="761" s="82" customFormat="1"/>
    <row r="762" s="82" customFormat="1"/>
    <row r="763" s="82" customFormat="1"/>
    <row r="764" s="82" customFormat="1"/>
    <row r="765" s="82" customFormat="1"/>
    <row r="766" s="82" customFormat="1"/>
    <row r="767" s="82" customFormat="1"/>
    <row r="768" s="82" customFormat="1"/>
    <row r="769" s="82" customFormat="1"/>
    <row r="770" s="82" customFormat="1"/>
    <row r="771" s="82" customFormat="1"/>
    <row r="772" s="82" customFormat="1"/>
    <row r="773" s="82" customFormat="1"/>
    <row r="774" s="82" customFormat="1"/>
    <row r="775" s="82" customFormat="1"/>
    <row r="776" s="82" customFormat="1"/>
    <row r="777" s="82" customFormat="1"/>
    <row r="778" s="82" customFormat="1"/>
    <row r="779" s="82" customFormat="1"/>
    <row r="780" s="82" customFormat="1"/>
    <row r="781" s="82" customFormat="1"/>
    <row r="782" s="82" customFormat="1"/>
    <row r="783" s="82" customFormat="1"/>
    <row r="784" s="82" customFormat="1"/>
    <row r="785" s="82" customFormat="1"/>
    <row r="786" s="82" customFormat="1"/>
    <row r="787" s="82" customFormat="1"/>
    <row r="788" s="82" customFormat="1"/>
    <row r="789" s="82" customFormat="1"/>
    <row r="790" s="82" customFormat="1"/>
    <row r="791" s="82" customFormat="1"/>
    <row r="792" s="82" customFormat="1"/>
    <row r="793" s="82" customFormat="1"/>
    <row r="794" s="82" customFormat="1"/>
    <row r="795" s="82" customFormat="1"/>
    <row r="796" s="82" customFormat="1"/>
    <row r="797" s="82" customFormat="1"/>
    <row r="798" s="82" customFormat="1"/>
    <row r="799" s="82" customFormat="1"/>
    <row r="800" s="82" customFormat="1"/>
    <row r="801" s="82" customFormat="1"/>
    <row r="802" s="82" customFormat="1"/>
    <row r="803" s="82" customFormat="1"/>
    <row r="804" s="82" customFormat="1"/>
    <row r="805" s="82" customFormat="1"/>
    <row r="806" s="82" customFormat="1"/>
    <row r="807" s="82" customFormat="1"/>
    <row r="808" s="82" customFormat="1"/>
    <row r="809" s="82" customFormat="1"/>
    <row r="810" s="82" customFormat="1"/>
    <row r="811" s="82" customFormat="1"/>
    <row r="812" s="82" customFormat="1"/>
    <row r="813" s="82" customFormat="1"/>
    <row r="814" s="82" customFormat="1"/>
    <row r="815" s="82" customFormat="1"/>
    <row r="816" s="82" customFormat="1"/>
    <row r="817" s="82" customFormat="1"/>
    <row r="818" s="82" customFormat="1"/>
    <row r="819" s="82" customFormat="1"/>
    <row r="820" s="82" customFormat="1"/>
    <row r="821" s="82" customFormat="1"/>
    <row r="822" s="82" customFormat="1"/>
    <row r="823" s="82" customFormat="1"/>
    <row r="824" s="82" customFormat="1"/>
    <row r="825" s="82" customFormat="1"/>
    <row r="826" s="82" customFormat="1"/>
    <row r="827" s="82" customFormat="1"/>
    <row r="828" s="82" customFormat="1"/>
    <row r="829" s="82" customFormat="1"/>
    <row r="830" s="82" customFormat="1"/>
    <row r="831" s="82" customFormat="1"/>
    <row r="832" s="82" customFormat="1"/>
    <row r="833" s="82" customFormat="1"/>
    <row r="834" s="82" customFormat="1"/>
    <row r="835" s="82" customFormat="1"/>
    <row r="836" s="82" customFormat="1"/>
    <row r="837" s="82" customFormat="1"/>
    <row r="838" s="82" customFormat="1"/>
    <row r="839" s="82" customFormat="1"/>
    <row r="840" s="82" customFormat="1"/>
    <row r="841" s="82" customFormat="1"/>
    <row r="842" s="82" customFormat="1"/>
    <row r="843" s="82" customFormat="1"/>
    <row r="844" s="82" customFormat="1"/>
    <row r="845" s="82" customFormat="1"/>
    <row r="846" s="82" customFormat="1"/>
    <row r="847" s="82" customFormat="1"/>
    <row r="848" s="82" customFormat="1"/>
    <row r="849" s="82" customFormat="1"/>
    <row r="850" s="82" customFormat="1"/>
    <row r="851" s="82" customFormat="1"/>
    <row r="852" s="82" customFormat="1"/>
    <row r="853" s="82" customFormat="1"/>
    <row r="854" s="82" customFormat="1"/>
    <row r="855" s="82" customFormat="1"/>
    <row r="856" s="82" customFormat="1"/>
    <row r="857" s="82" customFormat="1"/>
    <row r="858" s="82" customFormat="1"/>
    <row r="859" s="82" customFormat="1"/>
    <row r="860" s="82" customFormat="1"/>
    <row r="861" s="82" customFormat="1"/>
    <row r="862" s="82" customFormat="1"/>
    <row r="863" s="82" customFormat="1"/>
    <row r="864" s="82" customFormat="1"/>
    <row r="865" s="82" customFormat="1"/>
    <row r="866" s="82" customFormat="1"/>
    <row r="867" s="82" customFormat="1"/>
    <row r="868" s="82" customFormat="1"/>
    <row r="869" s="82" customFormat="1"/>
    <row r="870" s="82" customFormat="1"/>
    <row r="871" s="82" customFormat="1"/>
    <row r="872" s="82" customFormat="1"/>
    <row r="873" s="82" customFormat="1"/>
    <row r="874" s="82" customFormat="1"/>
    <row r="875" s="82" customFormat="1"/>
    <row r="876" s="82" customFormat="1"/>
    <row r="877" s="82" customFormat="1"/>
    <row r="878" s="82" customFormat="1"/>
    <row r="879" s="82" customFormat="1"/>
    <row r="880" s="82" customFormat="1"/>
    <row r="881" s="82" customFormat="1"/>
    <row r="882" s="82"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610B19-3ACD-4CA3-AE1E-9FB250D66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D5A9B0-2913-4BEC-BE71-C8C341A9498F}">
  <ds:schemaRefs>
    <ds:schemaRef ds:uri="http://schemas.microsoft.com/sharepoint/v3/contenttype/forms"/>
  </ds:schemaRefs>
</ds:datastoreItem>
</file>

<file path=customXml/itemProps3.xml><?xml version="1.0" encoding="utf-8"?>
<ds:datastoreItem xmlns:ds="http://schemas.openxmlformats.org/officeDocument/2006/customXml" ds:itemID="{8D6DB363-0BE4-4B2A-922A-835295257B00}">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fc2f2499-f938-4cc0-a2cd-f3e7b3a200ae"/>
    <ds:schemaRef ds:uri="d3553cee-4ecc-4eb5-80d8-f24f981318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44</vt:i4>
      </vt:variant>
    </vt:vector>
  </HeadingPairs>
  <TitlesOfParts>
    <vt:vector size="55" baseType="lpstr">
      <vt:lpstr>NEW...Tables 87-90</vt:lpstr>
      <vt:lpstr>OLD...Tables</vt:lpstr>
      <vt:lpstr>NEW...Tables 91-112</vt:lpstr>
      <vt:lpstr>OLD...Tabs</vt:lpstr>
      <vt:lpstr>Pivot Table for Data Exchange</vt:lpstr>
      <vt:lpstr>05InstructionTypes</vt:lpstr>
      <vt:lpstr>Sheet1</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lpstr>'05InstructionTypes'!Type13gr1_1</vt:lpstr>
      <vt:lpstr>'05InstructionTypes'!Type13gr1_2</vt:lpstr>
      <vt:lpstr>'05InstructionTypes'!Type13gr1_3</vt:lpstr>
      <vt:lpstr>'05InstructionTypes'!Type13gr1_4</vt:lpstr>
      <vt:lpstr>'05InstructionTypes'!Type13gr2_1</vt:lpstr>
      <vt:lpstr>'05InstructionTypes'!Type13gr2_2</vt:lpstr>
      <vt:lpstr>'05InstructionTypes'!Type13gr2_3</vt:lpstr>
      <vt:lpstr>'05InstructionTypes'!Type13gr2_4</vt:lpstr>
      <vt:lpstr>'05InstructionTypes'!Type13gr3_1</vt:lpstr>
      <vt:lpstr>'05InstructionTypes'!Type13gr3_2</vt:lpstr>
      <vt:lpstr>'05InstructionTypes'!Type13gr3_3</vt:lpstr>
      <vt:lpstr>'05InstructionTypes'!Type13gr3_4</vt:lpstr>
      <vt:lpstr>'05InstructionTypes'!Type13gr4_1</vt:lpstr>
      <vt:lpstr>'05InstructionTypes'!Type13gr4_2</vt:lpstr>
      <vt:lpstr>'05InstructionTypes'!Type13gr4_3</vt:lpstr>
      <vt:lpstr>'05InstructionTypes'!Type13gr4_4</vt:lpstr>
      <vt:lpstr>'05InstructionTypes'!Type13gr5_2</vt:lpstr>
      <vt:lpstr>'05InstructionTypes'!Type13gr5_3</vt:lpstr>
      <vt:lpstr>'05InstructionTypes'!Type13gr5_4</vt:lpstr>
      <vt:lpstr>'05InstructionTypes'!Type13gr5_5</vt:lpstr>
      <vt:lpstr>'05InstructionTypes'!Type13ug1_1</vt:lpstr>
      <vt:lpstr>'05InstructionTypes'!Type13ug1_2</vt:lpstr>
      <vt:lpstr>'05InstructionTypes'!Type13ug1_3</vt:lpstr>
      <vt:lpstr>'05InstructionTypes'!Type13ug1_4</vt:lpstr>
      <vt:lpstr>'05InstructionTypes'!Type13ug2_1</vt:lpstr>
      <vt:lpstr>'05InstructionTypes'!Type13ug2_2</vt:lpstr>
      <vt:lpstr>'05InstructionTypes'!Type13ug2_3</vt:lpstr>
      <vt:lpstr>'05InstructionTypes'!Type13ug2_4</vt:lpstr>
      <vt:lpstr>'05InstructionTypes'!Type13ug3_1</vt:lpstr>
      <vt:lpstr>'05InstructionTypes'!Type13ug3_2</vt:lpstr>
      <vt:lpstr>'05InstructionTypes'!Type13ug3_3</vt:lpstr>
      <vt:lpstr>'05InstructionTypes'!Type13ug3_4</vt:lpstr>
      <vt:lpstr>'05InstructionTypes'!Type13ug4_1</vt:lpstr>
      <vt:lpstr>'05InstructionTypes'!Type13ug4_2</vt:lpstr>
      <vt:lpstr>'05InstructionTypes'!Type13ug4_3</vt:lpstr>
      <vt:lpstr>'05InstructionTypes'!Type13ug4_4</vt:lpstr>
      <vt:lpstr>'05InstructionTypes'!Type13ug5_1</vt:lpstr>
      <vt:lpstr>'05InstructionTypes'!Type13ug5_2</vt:lpstr>
      <vt:lpstr>'05InstructionTypes'!Type13ug5_3</vt:lpstr>
      <vt:lpstr>'05InstructionTypes'!Type13ug5_4</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Robert Aycock</cp:lastModifiedBy>
  <cp:lastPrinted>2016-03-15T16:03:45Z</cp:lastPrinted>
  <dcterms:created xsi:type="dcterms:W3CDTF">2010-11-24T15:25:05Z</dcterms:created>
  <dcterms:modified xsi:type="dcterms:W3CDTF">2023-03-28T13:32:22Z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05InstructionTypes</vt:lpwstr>
  </property>
  <property fmtid="{D5CDD505-2E9C-101B-9397-08002B2CF9AE}" pid="3" name="Survey Status">
    <vt:lpwstr>Template</vt:lpwstr>
  </property>
  <property fmtid="{D5CDD505-2E9C-101B-9397-08002B2CF9AE}" pid="4" name="State">
    <vt:lpwstr>AL</vt:lpwstr>
  </property>
  <property fmtid="{D5CDD505-2E9C-101B-9397-08002B2CF9AE}" pid="5" name="Agency">
    <vt:lpwstr>ACHE</vt:lpwstr>
  </property>
  <property fmtid="{D5CDD505-2E9C-101B-9397-08002B2CF9AE}" pid="6" name="ContentTypeId">
    <vt:lpwstr>0x0101008C9207C4D8AB6E4A9864D320D8693611</vt:lpwstr>
  </property>
  <property fmtid="{D5CDD505-2E9C-101B-9397-08002B2CF9AE}" pid="7" name="WorkflowChangePath">
    <vt:lpwstr>133843d5-d372-4001-96eb-52efd1ea8343,2;133843d5-d372-4001-96eb-52efd1ea8343,2;133843d5-d372-4001-96eb-52efd1ea8343,2;eaa8b4b4-d670-43a5-acb7-15cc2bb80337,4;eaa8b4b4-d670-43a5-acb7-15cc2bb80337,4;133843d5-d372-4001-96eb-52efd1ea8343,5;133843d5-d372-4001-96</vt:lpwstr>
  </property>
</Properties>
</file>